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TSGr8i9728gzwRh5xydKZ6v4LdzT0ILQCd4tF9AlyFfiwCaCnMuf3R6wAb39Ur+ZDK01slNUXeJ1NmEyvy1S8Q==" workbookSaltValue="Iy9aftn+gmFPyT6v/lJc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BH19" i="13"/>
  <c r="R19" i="8"/>
  <c r="EP19" i="8"/>
  <c r="EP19" i="19"/>
  <c r="AT17" i="20"/>
  <c r="AL9" i="11"/>
  <c r="K18" i="2"/>
  <c r="F9" i="2"/>
  <c r="M13" i="2"/>
  <c r="N13" i="2"/>
  <c r="T13" i="12"/>
  <c r="T13" i="16"/>
  <c r="T13" i="20"/>
  <c r="AY18" i="8"/>
  <c r="BB13" i="13"/>
  <c r="BD12" i="8"/>
  <c r="J18" i="17"/>
  <c r="BG15" i="13"/>
  <c r="BA18" i="13"/>
  <c r="BE15" i="13"/>
  <c r="AH20" i="20"/>
  <c r="AL20" i="20"/>
  <c r="AB20" i="20"/>
  <c r="AO20" i="20"/>
  <c r="AN20" i="20"/>
  <c r="Y20" i="20"/>
  <c r="U10" i="11"/>
  <c r="C17" i="6" l="1"/>
  <c r="AJ19" i="8"/>
  <c r="T19" i="8"/>
  <c r="AC19" i="8"/>
  <c r="AC10" i="11"/>
  <c r="H13" i="12"/>
  <c r="BE10" i="8"/>
  <c r="BF9" i="8"/>
  <c r="H12" i="7"/>
  <c r="AL12" i="11"/>
  <c r="E12" i="6"/>
  <c r="AO12" i="11"/>
  <c r="B10" i="6"/>
  <c r="H12" i="2"/>
  <c r="K15" i="7"/>
  <c r="L9" i="14"/>
  <c r="C10" i="6"/>
  <c r="AO17" i="11"/>
  <c r="L16" i="14"/>
  <c r="L17" i="14"/>
  <c r="F15" i="17"/>
  <c r="AQ15" i="17" s="1"/>
  <c r="L12" i="14"/>
  <c r="AY13" i="13"/>
  <c r="BA13" i="13"/>
  <c r="R8" i="9"/>
  <c r="AA16" i="16" s="1"/>
  <c r="X12" i="17"/>
  <c r="AA11" i="16"/>
  <c r="S11" i="17"/>
  <c r="AZ17" i="11"/>
  <c r="L12" i="2"/>
  <c r="X12" i="16"/>
  <c r="S10" i="14"/>
  <c r="V10" i="14" s="1"/>
  <c r="R10" i="14"/>
  <c r="R16" i="14"/>
  <c r="S15" i="14"/>
  <c r="V15" i="14" s="1"/>
  <c r="X16" i="17"/>
  <c r="AA15" i="16"/>
  <c r="X9" i="17"/>
  <c r="T17" i="20"/>
  <c r="U10" i="21"/>
  <c r="AA12" i="21"/>
  <c r="S10" i="17"/>
  <c r="L11" i="2"/>
  <c r="V15" i="20"/>
  <c r="V18" i="20" s="1"/>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I9" i="7" s="1"/>
  <c r="BD15" i="8"/>
  <c r="H15" i="7" s="1"/>
  <c r="AM12" i="11"/>
  <c r="D17" i="2"/>
  <c r="AM16" i="11"/>
  <c r="L19" i="8"/>
  <c r="J12" i="2"/>
  <c r="E18" i="12"/>
  <c r="B18" i="2"/>
  <c r="J18" i="2" s="1"/>
  <c r="G17" i="3"/>
  <c r="I10" i="3"/>
  <c r="D13" i="5"/>
  <c r="BF11" i="8"/>
  <c r="BE12" i="8"/>
  <c r="BE15" i="8"/>
  <c r="AO15" i="17"/>
  <c r="C16" i="6"/>
  <c r="U19" i="8"/>
  <c r="Y19" i="8"/>
  <c r="AI19" i="8"/>
  <c r="BK19" i="8"/>
  <c r="B11" i="6"/>
  <c r="C12" i="14"/>
  <c r="K12" i="14" s="1"/>
  <c r="K18" i="11"/>
  <c r="E9" i="6"/>
  <c r="H9" i="7"/>
  <c r="K9" i="7"/>
  <c r="AO10" i="17"/>
  <c r="AO12"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K9" i="12" l="1"/>
  <c r="F13" i="2"/>
  <c r="J13" i="2"/>
  <c r="AZ11" i="11"/>
  <c r="V15" i="16"/>
  <c r="X17" i="17"/>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F11" i="11"/>
  <c r="BL9" i="11"/>
  <c r="BG10" i="11"/>
  <c r="P17" i="17"/>
  <c r="BK12" i="11"/>
  <c r="BK9" i="11"/>
  <c r="BK13" i="11" s="1"/>
  <c r="BK15" i="11"/>
  <c r="BI10" i="11"/>
  <c r="V9" i="11"/>
  <c r="R10" i="21"/>
  <c r="BG9" i="11"/>
  <c r="BH17" i="11"/>
  <c r="T17" i="16"/>
  <c r="BU11" i="17"/>
  <c r="BU10" i="17"/>
  <c r="BW12" i="20"/>
  <c r="BW11" i="20"/>
  <c r="BW10" i="20"/>
  <c r="BU12" i="17"/>
  <c r="AZ12" i="11"/>
  <c r="Q17" i="17"/>
  <c r="BI9" i="11"/>
  <c r="BJ10" i="11"/>
  <c r="BH11" i="11"/>
  <c r="BH16" i="11"/>
  <c r="BJ16" i="11"/>
  <c r="L16" i="2"/>
  <c r="L9" i="2"/>
  <c r="T9" i="11"/>
  <c r="BH11" i="16"/>
  <c r="BH17" i="16"/>
  <c r="BM16" i="11"/>
  <c r="BL17" i="11"/>
  <c r="BF10" i="11"/>
  <c r="V11" i="11"/>
  <c r="Q10" i="21"/>
  <c r="BJ11" i="11"/>
  <c r="BI17" i="11"/>
  <c r="BL11" i="11"/>
  <c r="BM15" i="11"/>
  <c r="Q15" i="11" s="1"/>
  <c r="T15" i="16"/>
  <c r="T18" i="16" s="1"/>
  <c r="T19" i="16" s="1"/>
  <c r="BV17" i="16"/>
  <c r="BV12" i="16"/>
  <c r="BV11" i="16"/>
  <c r="U10" i="17"/>
  <c r="V12" i="16"/>
  <c r="BG12" i="11"/>
  <c r="BH10" i="11"/>
  <c r="AQ10" i="21"/>
  <c r="BK16" i="11"/>
  <c r="BG16" i="1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X19" i="21" s="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I19" i="8"/>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AS18" i="16"/>
  <c r="AZ13" i="16"/>
  <c r="AN19" i="16"/>
  <c r="AW19" i="11"/>
  <c r="Q16"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AO18" i="17" l="1"/>
  <c r="B19" i="7"/>
  <c r="P16" i="11"/>
  <c r="BK18" i="11"/>
  <c r="P12" i="11"/>
  <c r="BV13" i="16"/>
  <c r="BJ18" i="11"/>
  <c r="BH18" i="11"/>
  <c r="AZ19" i="11"/>
  <c r="AZ13" i="11"/>
  <c r="BH13" i="11"/>
  <c r="X13" i="16"/>
  <c r="R13" i="21"/>
  <c r="R19" i="21" s="1"/>
  <c r="P18" i="17"/>
  <c r="P19" i="17"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<sst xmlns="http://schemas.openxmlformats.org/spreadsheetml/2006/main" count="2102" uniqueCount="917">
  <si>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</si>
  <si>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</si>
  <si>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</si>
  <si>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</si>
  <si>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</si>
  <si>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</si>
  <si>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</si>
  <si>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</si>
  <si>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</si>
  <si>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</si>
  <si>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</si>
  <si>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</si>
  <si>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</si>
  <si>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</si>
  <si>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</si>
  <si>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</si>
  <si>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</si>
  <si>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</si>
  <si>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</si>
  <si>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</si>
  <si>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</si>
  <si>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</si>
  <si>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</si>
  <si>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</si>
  <si>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</si>
  <si>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</si>
  <si>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</si>
  <si>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</si>
  <si>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</si>
  <si>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</si>
  <si>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</si>
  <si>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</si>
  <si>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</si>
  <si>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</si>
  <si>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</si>
  <si>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</si>
  <si>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</si>
  <si>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</si>
  <si>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</si>
  <si>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</si>
  <si>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</si>
  <si>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</si>
  <si>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</si>
  <si>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</si>
  <si>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</si>
  <si>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</si>
  <si>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</si>
  <si>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</si>
  <si>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</si>
  <si>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</si>
  <si>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</si>
  <si>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</si>
  <si>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</si>
  <si>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</si>
  <si>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</si>
  <si>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</si>
  <si>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</si>
  <si>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</si>
  <si>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</si>
  <si>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</si>
  <si>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</si>
  <si>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</si>
  <si>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</si>
  <si>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</si>
  <si>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</si>
  <si>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</si>
  <si>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</si>
  <si>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</si>
  <si>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</si>
  <si>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</si>
  <si>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</si>
  <si>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</si>
  <si>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</si>
  <si>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</si>
  <si>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</si>
  <si>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</si>
  <si>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</si>
  <si>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</si>
  <si>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</si>
  <si>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</si>
  <si>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</si>
  <si>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</si>
  <si>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</si>
  <si>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</si>
  <si>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</si>
  <si>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</si>
  <si>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</si>
  <si>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</si>
  <si>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</si>
  <si>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</si>
  <si>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</si>
  <si>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</si>
  <si>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</si>
  <si>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</si>
  <si>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</si>
  <si>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</si>
  <si>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</si>
  <si>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</si>
  <si>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</si>
  <si>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</si>
  <si>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</si>
  <si>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</si>
  <si>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</si>
  <si>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</si>
  <si>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</si>
  <si>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</si>
  <si>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</si>
  <si>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</si>
  <si>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</si>
  <si>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</si>
  <si>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</si>
  <si>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</si>
  <si>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</si>
  <si>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</si>
  <si>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</si>
  <si>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</si>
  <si>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</si>
  <si>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</si>
  <si>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</si>
  <si>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</si>
  <si>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</si>
  <si>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</si>
  <si>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</si>
  <si>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</si>
  <si>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</si>
  <si>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</si>
  <si>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</si>
  <si>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</si>
  <si>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</si>
  <si>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</si>
  <si>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</si>
  <si>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</si>
  <si>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</si>
  <si>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</si>
  <si>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</si>
  <si>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</si>
  <si>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</si>
  <si>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</si>
  <si>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</si>
  <si>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</si>
  <si>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</si>
  <si>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</si>
  <si>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</si>
  <si>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</si>
  <si>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</si>
  <si>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</si>
  <si>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</si>
  <si>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</si>
  <si>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</si>
  <si>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</si>
  <si>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</si>
  <si>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</si>
  <si>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</si>
  <si>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</si>
  <si>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</si>
  <si>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</si>
  <si>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</si>
  <si>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</si>
  <si>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</si>
  <si>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</si>
  <si>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</si>
  <si>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</si>
  <si>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</si>
  <si>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</si>
  <si>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</si>
  <si>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</si>
  <si>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</si>
  <si>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</si>
  <si>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</si>
  <si>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</si>
  <si>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</si>
  <si>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</si>
  <si>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</si>
  <si>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</si>
  <si>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</si>
  <si>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</si>
  <si>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</si>
  <si>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</si>
  <si>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</si>
  <si>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</si>
  <si>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</si>
  <si>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</si>
  <si>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</si>
  <si>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</si>
  <si>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</si>
  <si>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</si>
  <si>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</si>
  <si>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</si>
  <si>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</si>
  <si>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</si>
  <si>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</si>
  <si>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</si>
  <si>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</si>
  <si>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</si>
  <si>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</si>
  <si>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</si>
  <si>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</si>
  <si>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</si>
  <si>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</si>
  <si>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</si>
  <si>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</si>
  <si>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</si>
  <si>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</si>
  <si>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</si>
  <si>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</si>
  <si>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</si>
  <si>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</si>
  <si>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</si>
  <si>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</si>
  <si>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</si>
  <si>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</si>
  <si>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</si>
  <si>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</si>
  <si>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</si>
  <si>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</si>
  <si>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</si>
  <si>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</si>
  <si>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</si>
  <si>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</si>
  <si>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</si>
  <si>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</si>
  <si>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</si>
  <si>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</si>
  <si>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</si>
  <si>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</si>
  <si>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</si>
  <si>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</si>
  <si>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</si>
  <si>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</si>
  <si>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</si>
  <si>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</si>
  <si>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</si>
  <si>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</si>
  <si>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</si>
  <si>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</si>
  <si>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</si>
  <si>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</si>
  <si>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</si>
  <si>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</si>
  <si>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</si>
  <si>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</si>
  <si>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</si>
  <si>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</si>
  <si>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</si>
  <si>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</si>
  <si>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</si>
  <si>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</si>
  <si>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</si>
  <si>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</si>
  <si>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</si>
  <si>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</si>
  <si>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</si>
  <si>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</si>
  <si>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</si>
  <si>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</si>
  <si>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</si>
  <si>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</si>
  <si>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</si>
  <si>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</si>
  <si>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</si>
  <si>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</si>
  <si>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</si>
  <si>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</si>
  <si>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</si>
  <si>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</si>
  <si>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</si>
  <si>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</si>
  <si>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</si>
  <si>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</si>
  <si>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</si>
  <si>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</si>
  <si>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</si>
  <si>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</si>
  <si>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</si>
  <si>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</si>
  <si>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</si>
  <si>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</si>
  <si>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</si>
  <si>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</si>
  <si>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</si>
  <si>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</si>
  <si>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</si>
  <si>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</si>
  <si>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</si>
  <si>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</si>
  <si>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</si>
  <si>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</si>
  <si>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</si>
  <si>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</si>
  <si>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</si>
  <si>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</si>
  <si>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</si>
  <si>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</si>
  <si>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</si>
  <si>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</si>
  <si>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</si>
  <si>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</si>
  <si>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</si>
  <si>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</si>
  <si>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</si>
  <si>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</si>
  <si>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</si>
  <si>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</si>
  <si>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</si>
  <si>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</si>
  <si>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</si>
  <si>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</si>
  <si>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</si>
  <si>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</si>
  <si>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</si>
  <si>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</si>
  <si>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</si>
  <si>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</si>
  <si>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</si>
  <si>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</si>
  <si>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</si>
  <si>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</si>
  <si>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</si>
  <si>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</si>
  <si>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</si>
  <si>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</si>
  <si>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</si>
  <si>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</si>
  <si>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</si>
  <si>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</si>
  <si>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</si>
  <si>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</si>
  <si>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</si>
  <si>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</si>
  <si>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</si>
  <si>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</si>
  <si>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</si>
  <si>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</si>
  <si>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</si>
  <si>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</si>
  <si>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</si>
  <si>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</si>
  <si>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</si>
  <si>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</si>
  <si>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</si>
  <si>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</si>
  <si>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</si>
  <si>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</si>
  <si>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</si>
  <si>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</si>
  <si>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</si>
  <si>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</si>
  <si>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</si>
  <si>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</si>
  <si>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</si>
  <si>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</si>
  <si>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</si>
  <si>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</si>
  <si>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</si>
  <si>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</si>
  <si>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</si>
  <si>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</si>
  <si>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</si>
  <si>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</si>
  <si>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</si>
  <si>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</si>
  <si>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</si>
  <si>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</si>
  <si>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</si>
  <si>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</si>
  <si>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</si>
  <si>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</si>
  <si>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</si>
  <si>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</si>
  <si>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</si>
  <si>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</si>
  <si>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</si>
  <si>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</si>
  <si>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</si>
  <si>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</si>
  <si>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</si>
  <si>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</si>
  <si>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</si>
  <si>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</si>
  <si>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</si>
  <si>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</si>
  <si>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</si>
  <si>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</si>
  <si>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</si>
  <si>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</si>
  <si>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</si>
  <si>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</si>
  <si>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</si>
  <si>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</si>
  <si>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</si>
  <si>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</si>
  <si>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</si>
  <si>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</si>
  <si>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</si>
  <si>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</si>
  <si>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</si>
  <si>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</si>
  <si>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</si>
  <si>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</si>
  <si>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</si>
  <si>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</si>
  <si>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</si>
  <si>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</si>
  <si>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</si>
  <si>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</si>
  <si>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</si>
  <si>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</si>
  <si>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</si>
  <si>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</si>
  <si>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</si>
  <si>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</si>
  <si>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</si>
  <si>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</si>
  <si>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</si>
  <si>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</si>
  <si>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</si>
  <si>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</si>
  <si>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</si>
  <si>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</si>
  <si>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</si>
  <si>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</si>
  <si>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</si>
  <si>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</si>
  <si>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</si>
  <si>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</si>
  <si>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</si>
  <si>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</si>
  <si>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</si>
  <si>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</si>
  <si>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</si>
  <si>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</si>
  <si>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</si>
  <si>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</si>
  <si>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</si>
  <si>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</si>
  <si>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</si>
  <si>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</si>
  <si>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</si>
  <si>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</si>
  <si>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</si>
  <si>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</si>
  <si>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</si>
  <si>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</si>
  <si>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</si>
  <si>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</si>
  <si>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</si>
  <si>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</si>
  <si>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</si>
  <si>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</si>
  <si>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</si>
  <si>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</si>
  <si>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</si>
  <si>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</si>
  <si>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</si>
  <si>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</si>
  <si>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</si>
  <si>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</si>
  <si>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</si>
  <si>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</si>
  <si>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</si>
  <si>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</si>
  <si>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</si>
  <si>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</si>
  <si>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</si>
  <si>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</si>
  <si>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</si>
  <si>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</si>
  <si>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</si>
  <si>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</si>
  <si>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</si>
  <si>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</si>
  <si>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</si>
  <si>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</si>
  <si>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</si>
  <si>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</si>
  <si>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</si>
  <si>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</si>
  <si>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</si>
  <si>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</si>
  <si>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</si>
  <si>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</si>
  <si>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</si>
  <si>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</si>
  <si>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</si>
  <si>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</si>
  <si>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</si>
  <si>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</si>
  <si>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</si>
  <si>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</si>
  <si>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</si>
  <si>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</si>
  <si>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</si>
  <si>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</si>
  <si>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</si>
  <si>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</si>
  <si>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</si>
  <si>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</si>
  <si>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</si>
  <si>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</si>
  <si>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</si>
  <si>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</si>
  <si>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</si>
  <si>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</si>
  <si>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</si>
  <si>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</si>
  <si>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</si>
  <si>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</si>
  <si>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</si>
  <si>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</si>
  <si>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</si>
  <si>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</si>
  <si>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</si>
  <si>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</si>
  <si>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</si>
  <si>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</si>
  <si>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</si>
  <si>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</si>
  <si>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</si>
  <si>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</si>
  <si>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</si>
  <si>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</si>
  <si>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</si>
  <si>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</si>
  <si>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</si>
  <si>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</si>
  <si>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</si>
  <si>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</si>
  <si>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</si>
  <si>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</si>
  <si>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</si>
  <si>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</si>
  <si>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</si>
  <si>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</si>
  <si>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</si>
  <si>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</si>
  <si>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</si>
  <si>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</si>
  <si>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</si>
  <si>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</si>
  <si>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</si>
  <si>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</si>
  <si>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</si>
  <si>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</si>
  <si>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</si>
  <si>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</si>
  <si>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</si>
  <si>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</si>
  <si>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</si>
  <si>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</si>
  <si>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</si>
  <si>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</si>
  <si>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</si>
  <si>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</si>
  <si>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</si>
  <si>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</si>
  <si>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</si>
  <si>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</si>
  <si>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</si>
  <si>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</si>
  <si>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</si>
  <si>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</si>
  <si>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</si>
  <si>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</si>
  <si>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</si>
  <si>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</si>
  <si>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</si>
  <si>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</si>
  <si>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</si>
  <si>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</si>
  <si>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</si>
  <si>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</si>
  <si>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</si>
  <si>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</si>
  <si>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</si>
  <si>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</si>
  <si>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</si>
  <si>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</si>
  <si>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</si>
  <si>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</si>
  <si>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</si>
  <si>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</si>
  <si>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</si>
  <si>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</si>
  <si>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</si>
  <si>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</si>
  <si>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</si>
  <si>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</si>
  <si>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</si>
  <si>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</si>
  <si>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</si>
  <si>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</si>
  <si>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</si>
  <si>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</si>
  <si>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</si>
  <si>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</si>
  <si>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</si>
  <si>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</si>
  <si>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</si>
  <si>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</si>
  <si>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</si>
  <si>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</si>
  <si>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</si>
  <si>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</si>
  <si>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</si>
  <si>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</si>
  <si>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</si>
  <si>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</si>
  <si>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</si>
  <si>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</si>
  <si>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</si>
  <si>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</si>
  <si>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</si>
  <si>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</si>
  <si>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</si>
  <si>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</si>
  <si>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</si>
  <si>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</si>
  <si>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</si>
  <si>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</si>
  <si>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</si>
  <si>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</si>
  <si>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</si>
  <si>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</si>
  <si>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</si>
  <si>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</si>
  <si>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</si>
  <si>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</si>
  <si>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</si>
  <si>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</si>
  <si>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</si>
  <si>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</si>
  <si>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</si>
  <si>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</si>
  <si>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</si>
  <si>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</si>
  <si>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</si>
  <si>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</si>
  <si>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</si>
  <si>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</si>
  <si>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</si>
  <si>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</si>
  <si>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</si>
  <si>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</si>
  <si>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</si>
  <si>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</si>
  <si>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</si>
  <si>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</si>
  <si>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</si>
  <si>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</si>
  <si>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</si>
  <si>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</si>
  <si>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</si>
  <si>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</si>
  <si>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</si>
  <si>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</si>
  <si>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</si>
  <si>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</si>
  <si>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</si>
  <si>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</si>
  <si>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</si>
  <si>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</si>
  <si>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</si>
  <si>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</si>
  <si>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</si>
  <si>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</si>
  <si>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</si>
  <si>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</si>
  <si>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</si>
  <si>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</si>
  <si>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</si>
  <si>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</si>
  <si>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</si>
  <si>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</si>
  <si>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</si>
  <si>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</si>
  <si>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</si>
  <si>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</si>
  <si>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</si>
  <si>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</si>
  <si>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</si>
  <si>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</si>
  <si>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</si>
  <si>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</si>
  <si>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</si>
  <si>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</si>
  <si>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</si>
  <si>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</si>
  <si>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</si>
  <si>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</si>
  <si>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</si>
  <si>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</si>
  <si>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</si>
  <si>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</si>
  <si>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</si>
  <si>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</si>
  <si>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</si>
  <si>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</si>
  <si>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</si>
  <si>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</si>
  <si>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</si>
  <si>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</si>
  <si>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</si>
  <si>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</si>
  <si>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</si>
  <si>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</si>
  <si>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</si>
  <si>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</si>
  <si>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</si>
  <si>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</si>
  <si>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</si>
  <si>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</si>
  <si>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</si>
  <si>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</si>
  <si>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</si>
  <si>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</si>
  <si>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</si>
  <si>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</si>
  <si>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</si>
  <si>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</si>
  <si>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</si>
  <si>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</si>
  <si>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</si>
  <si>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</si>
  <si>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</si>
  <si>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</si>
  <si>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</si>
  <si>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</si>
  <si>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</si>
  <si>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</si>
  <si>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</si>
  <si>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</si>
  <si>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</si>
  <si>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</si>
  <si>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</si>
  <si>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</si>
  <si>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</si>
  <si>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</si>
  <si>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</si>
  <si>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</si>
  <si>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</si>
  <si>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</si>
  <si>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</si>
  <si>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</si>
  <si>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</si>
  <si>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</si>
  <si>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</si>
  <si>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</si>
  <si>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</si>
  <si>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</si>
  <si>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</si>
  <si>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</si>
  <si>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</si>
  <si>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</si>
  <si>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</si>
  <si>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</si>
  <si>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</si>
  <si>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</si>
  <si>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</si>
  <si>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</si>
  <si>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</si>
  <si>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</si>
  <si>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</si>
  <si>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</si>
  <si>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</si>
  <si>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</si>
  <si>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</si>
  <si>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</si>
  <si>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</si>
  <si>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</si>
  <si>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</si>
  <si>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</si>
  <si>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</si>
  <si>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</si>
  <si>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</si>
  <si>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</si>
  <si>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</si>
  <si>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</si>
  <si>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</si>
  <si>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</si>
  <si>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</si>
  <si>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</si>
  <si>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</si>
  <si>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</si>
  <si>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</si>
  <si>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</si>
  <si>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</si>
  <si>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</si>
  <si>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</si>
  <si>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</si>
  <si>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</si>
  <si>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</si>
  <si>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</si>
  <si>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</si>
  <si>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</si>
  <si>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</si>
  <si>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</si>
  <si>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</si>
  <si>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</si>
  <si>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</si>
  <si>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</si>
  <si>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</si>
  <si>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</si>
  <si>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</si>
  <si>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</si>
  <si>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</si>
  <si>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</si>
  <si>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</si>
  <si>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</si>
  <si>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</si>
  <si>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</si>
  <si>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</si>
  <si>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</si>
  <si>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</si>
  <si>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</si>
  <si>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</si>
  <si>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</si>
  <si>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</si>
  <si>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</si>
  <si>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</si>
  <si>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</si>
  <si>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</si>
  <si>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</si>
  <si>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</si>
  <si>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</si>
  <si>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</si>
  <si>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</si>
  <si>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</si>
  <si>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</si>
  <si>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</si>
  <si>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</si>
  <si>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</si>
  <si>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</si>
  <si>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</si>
  <si>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</si>
  <si>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</si>
  <si>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</si>
  <si>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</si>
  <si>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</si>
  <si>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</si>
  <si>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</si>
  <si>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</si>
  <si>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</si>
  <si>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</si>
  <si>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</si>
  <si>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</si>
  <si>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</si>
  <si>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</si>
  <si>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</si>
  <si>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</si>
  <si>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</si>
  <si>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</si>
  <si>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</si>
  <si>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</si>
  <si>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</si>
  <si>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</si>
  <si>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</si>
  <si>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</si>
  <si>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</si>
  <si>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</si>
  <si>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</si>
  <si>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</si>
  <si>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</si>
  <si>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</si>
  <si>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</si>
  <si>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</si>
  <si>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</si>
  <si>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</si>
  <si>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</si>
  <si>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</si>
  <si>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</si>
  <si>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</si>
  <si>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</si>
  <si>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</si>
  <si>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</si>
  <si>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</si>
  <si>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</si>
  <si>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</si>
  <si>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</si>
  <si>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</si>
  <si>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</si>
  <si>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</si>
  <si>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</si>
  <si>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</si>
  <si>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</si>
  <si>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</si>
  <si>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</si>
  <si>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</si>
  <si>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</si>
  <si>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</si>
  <si>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</si>
  <si>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</si>
  <si>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</si>
  <si>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</si>
  <si>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</si>
  <si>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</si>
  <si>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</si>
  <si>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</si>
  <si>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</si>
  <si>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</si>
  <si>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</si>
  <si>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</si>
  <si>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</si>
  <si>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</si>
  <si>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</si>
  <si>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</si>
  <si>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</si>
  <si>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</si>
  <si>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</si>
  <si>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</si>
  <si>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</si>
  <si>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</si>
  <si>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</si>
  <si>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</si>
  <si>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</si>
  <si>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MALAGA</t>
  </si>
  <si>
    <t>Resumenes por Partidos Judiciales</t>
  </si>
  <si>
    <t>FUENGIROLA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</si>
</sst>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tpALJ4yG97iI///r27fq3q6QYasG8eFP6cuWgNc2Zfdd5tHtxSwyy/Wequ9neMaADYLf0C0uiCHosX/clXj3Q==" saltValue="46VUM+Ap6EQUOK/DNCei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35.257005122024708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113</v>
      </c>
      <c r="D10" s="225">
        <f>IF(ISNUMBER(Datos!I10),Datos!I10," - ")</f>
        <v>113</v>
      </c>
      <c r="E10" s="226">
        <f>IF(ISNUMBER(Datos!J10),Datos!J10," - ")</f>
        <v>30</v>
      </c>
      <c r="F10" s="226">
        <f>IF(ISNUMBER(Datos!K10),Datos!K10," - ")</f>
        <v>18</v>
      </c>
      <c r="G10" s="1034" t="str">
        <f>IF(Datos!E10&lt;&gt;"",Datos!E10,Datos!D10)</f>
        <v>37</v>
      </c>
      <c r="H10" s="227">
        <f>IF(ISNUMBER(Datos!L10),Datos!L10," - ")</f>
        <v>125</v>
      </c>
      <c r="I10" s="1044" t="str">
        <f>IF(ISNUMBER(Datos!AS10/Datos!BM10),Datos!AS10/Datos!BM10," - ")</f>
        <v xml:space="preserve"> - </v>
      </c>
      <c r="J10" s="1045">
        <f>IF(ISNUMBER(Datos!BY10/Datos!CN10),Datos!BY10/Datos!CN10," - ")</f>
        <v>0</v>
      </c>
      <c r="K10" s="230">
        <f t="shared" ref="K10:K12" si="1">IF(ISNUMBER((E10-F10)/C10),(E10-F10)/C10," - ")</f>
        <v>0.10619469026548672</v>
      </c>
      <c r="L10" s="1025">
        <f>IF(ISNUMBER(NºAsuntos!I10/NºAsuntos!G10),(NºAsuntos!I10/NºAsuntos!G10)*11," - ")</f>
        <v>76.388888888888886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113</v>
      </c>
      <c r="D13" s="1049">
        <f>SUBTOTAL(9,D9:D12)</f>
        <v>113</v>
      </c>
      <c r="E13" s="1050">
        <f>SUBTOTAL(9,E9:E12)</f>
        <v>30</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1663</v>
      </c>
      <c r="D15" s="225">
        <f>IF(ISNUMBER(IF(D_I="SI",Datos!I15,Datos!I15+Datos!AC15)),IF(D_I="SI",Datos!I15,Datos!I15+Datos!AC15)," - ")</f>
        <v>1608</v>
      </c>
      <c r="E15" s="226">
        <f>IF(ISNUMBER(IF(D_I="SI",Datos!J15,Datos!J15+Datos!AD15)),IF(D_I="SI",Datos!J15,Datos!J15+Datos!AD15)," - ")</f>
        <v>3024</v>
      </c>
      <c r="F15" s="226">
        <f>IF(ISNUMBER(IF(D_I="SI",Datos!K15,Datos!K15+Datos!AE15)),IF(D_I="SI",Datos!K15,Datos!K15+Datos!AE15)," - ")</f>
        <v>3066</v>
      </c>
      <c r="G15" s="1034" t="str">
        <f>IF(Datos!E15&lt;&gt;"",Datos!E15,Datos!D15)</f>
        <v>03</v>
      </c>
      <c r="H15" s="227">
        <f>IF(ISNUMBER(IF(D_I="SI",Datos!L15,Datos!L15+Datos!AF15)),IF(D_I="SI",Datos!L15,Datos!L15+Datos!AF15)," - ")</f>
        <v>1621</v>
      </c>
      <c r="I15" s="1044" t="str">
        <f>IF(ISNUMBER(Datos!AS15/Datos!BM15),Datos!AS15/Datos!BM15," - ")</f>
        <v xml:space="preserve"> - </v>
      </c>
      <c r="J15" s="1045">
        <f>IF(ISNUMBER(Datos!BY15/Datos!CN15),Datos!BY15/Datos!CN15," - ")</f>
        <v>0</v>
      </c>
      <c r="K15" s="230">
        <f t="shared" ref="K15:K17" si="3">IF(ISNUMBER((E15-F15)/C15),(E15-F15)/C15," - ")</f>
        <v>-2.5255562236921228E-2</v>
      </c>
      <c r="L15" s="1025">
        <f>IF(ISNUMBER(NºAsuntos!I15/NºAsuntos!G15),(NºAsuntos!I15/NºAsuntos!G15)*11," - ")</f>
        <v>5.815720808871494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290</v>
      </c>
      <c r="D17" s="225">
        <f>IF(ISNUMBER(IF(D_I="SI",Datos!I17,Datos!I17+Datos!AC17)),IF(D_I="SI",Datos!I17,Datos!I17+Datos!AC17)," - ")</f>
        <v>290</v>
      </c>
      <c r="E17" s="226">
        <f>IF(ISNUMBER(IF(D_I="SI",Datos!J17,Datos!J17+Datos!AD17)),IF(D_I="SI",Datos!J17,Datos!J17+Datos!AD17)," - ")</f>
        <v>255</v>
      </c>
      <c r="F17" s="226">
        <f>IF(ISNUMBER(IF(D_I="SI",Datos!K17,Datos!K17+Datos!AE17)),IF(D_I="SI",Datos!K17,Datos!K17+Datos!AE17)," - ")</f>
        <v>252</v>
      </c>
      <c r="G17" s="1034" t="str">
        <f>IF(Datos!E17&lt;&gt;"",Datos!E17,Datos!D17)</f>
        <v>37</v>
      </c>
      <c r="H17" s="227">
        <f>IF(ISNUMBER(IF(D_I="SI",Datos!L17,Datos!L17+Datos!AF17)),IF(D_I="SI",Datos!L17,Datos!L17+Datos!AF17)," - ")</f>
        <v>293</v>
      </c>
      <c r="I17" s="1044" t="str">
        <f>IF(ISNUMBER(Datos!AS17/Datos!BM17),Datos!AS17/Datos!BM17," - ")</f>
        <v xml:space="preserve"> - </v>
      </c>
      <c r="J17" s="1045" t="str">
        <f>IF(ISNUMBER((Datos!BY17+Datos!BZ17)/Datos!CN17),(Datos!BY17+Datos!BZ17)/Datos!CN17," - ")</f>
        <v xml:space="preserve"> - </v>
      </c>
      <c r="K17" s="230">
        <f t="shared" si="3"/>
        <v>1.0344827586206896E-2</v>
      </c>
      <c r="L17" s="1025">
        <f>IF(ISNUMBER(NºAsuntos!I17/NºAsuntos!G17),(NºAsuntos!I17/NºAsuntos!G17)*11," - ")</f>
        <v>12.789682539682541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1953</v>
      </c>
      <c r="D18" s="1049">
        <f>SUBTOTAL(9,D15:D17)</f>
        <v>1898</v>
      </c>
      <c r="E18" s="1050">
        <f>SUBTOTAL(9,E15:E17)</f>
        <v>3279</v>
      </c>
      <c r="F18" s="1050">
        <f>SUBTOTAL(9,F15:F17)</f>
        <v>3318</v>
      </c>
      <c r="G18" s="1052" t="str">
        <f ca="1">INDIRECT(CONCATENATE("G",ROW()-1))</f>
        <v>37</v>
      </c>
      <c r="H18" s="1053">
        <f ca="1">SUMIF(G$14:G17,G18,H$14:H17)</f>
        <v>293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2066</v>
      </c>
      <c r="D19" s="1071">
        <f>SUBTOTAL(9,D9:D18)</f>
        <v>2011</v>
      </c>
      <c r="E19" s="1072">
        <f>SUBTOTAL(9,E9:E18)</f>
        <v>3309</v>
      </c>
      <c r="F19" s="1072">
        <f>SUBTOTAL(9,F9:F18)</f>
        <v>3336</v>
      </c>
      <c r="G19" s="1073"/>
      <c r="H19" s="1074">
        <f ca="1">SUMIF(B9:B18,"TOTAL",H9:H18)</f>
        <v>293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OiZZH8cMsjfdh2C1lo4n0RSihHoP3Pd+NtsMQrgpUFkZmMoVzGfBW28kvxZ+/XO6AGcZ4sY4GgUvuyXTHMRIg==" saltValue="+vOQjETOrFcHfdvUL7JnQ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1MMF3AbLsbXE7sQyVorcGAjlrPtooxt399B6dqsYzEodr6c0v2jZLk5Q6VMQvZGzaeQfGLfoUxLxjg/yRh7Fg==" saltValue="cJBVgrAe0Xj9K0XcpAuq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8861</v>
      </c>
      <c r="J9" s="181">
        <v>4940</v>
      </c>
      <c r="K9" s="181">
        <v>3253</v>
      </c>
      <c r="L9" s="181">
        <v>10514</v>
      </c>
      <c r="M9" s="181">
        <v>540</v>
      </c>
      <c r="N9" s="181">
        <v>2039</v>
      </c>
      <c r="O9" s="181">
        <v>1062</v>
      </c>
      <c r="P9" s="181">
        <v>530</v>
      </c>
      <c r="Q9" s="181">
        <v>416</v>
      </c>
      <c r="R9" s="181">
        <v>8245</v>
      </c>
      <c r="S9" s="181">
        <v>7338</v>
      </c>
      <c r="T9" s="181">
        <v>2512</v>
      </c>
      <c r="U9" s="181">
        <v>2415</v>
      </c>
      <c r="V9" s="181">
        <v>7432</v>
      </c>
      <c r="W9" s="181">
        <v>476</v>
      </c>
      <c r="X9" s="188">
        <v>1132</v>
      </c>
      <c r="Y9" s="191">
        <v>113</v>
      </c>
      <c r="Z9" s="181">
        <v>79</v>
      </c>
      <c r="AA9" s="181">
        <v>66</v>
      </c>
      <c r="AB9" s="181">
        <v>124</v>
      </c>
      <c r="AC9" s="181">
        <v>0</v>
      </c>
      <c r="AD9" s="181">
        <v>0</v>
      </c>
      <c r="AE9" s="181">
        <v>0</v>
      </c>
      <c r="AF9" s="188">
        <v>0</v>
      </c>
      <c r="AG9" s="191">
        <v>72</v>
      </c>
      <c r="AH9" s="181">
        <v>105</v>
      </c>
      <c r="AI9" s="181">
        <v>101</v>
      </c>
      <c r="AJ9" s="192">
        <v>76</v>
      </c>
      <c r="AK9" s="180">
        <v>0</v>
      </c>
      <c r="AL9" s="181">
        <v>0</v>
      </c>
      <c r="AM9" s="181">
        <v>0</v>
      </c>
      <c r="AN9" s="188">
        <v>0</v>
      </c>
      <c r="AO9" s="258">
        <v>5</v>
      </c>
      <c r="AP9" s="154">
        <v>5</v>
      </c>
      <c r="AQ9" s="154">
        <v>5</v>
      </c>
      <c r="AR9" s="193">
        <v>5</v>
      </c>
      <c r="AS9" s="338" t="s">
        <v>798</v>
      </c>
      <c r="AT9" s="195"/>
      <c r="AU9" s="194"/>
      <c r="AV9" s="195"/>
      <c r="AW9" s="194"/>
      <c r="AX9" s="195"/>
      <c r="AY9" s="123">
        <f>IF(ISNUMBER(IF(J_V="SI",S9,S9+AG9)),IF(J_V="SI",S9,S9+AG9)," - ")</f>
        <v>7410</v>
      </c>
      <c r="AZ9" s="123">
        <f>IF(ISNUMBER(IF(J_V="SI",T9,T9+AH9)),IF(J_V="SI",T9,T9+AH9)," - ")</f>
        <v>2617</v>
      </c>
      <c r="BA9" s="124">
        <f>IF(ISNUMBER(IF(J_V="SI",U9,U9+AI9)),IF(J_V="SI",U9,U9+AI9)," - ")</f>
        <v>2516</v>
      </c>
      <c r="BB9" s="124">
        <f>IF(ISNUMBER(IF(J_V="SI",V9,V9+AJ9)),IF(J_V="SI",V9,V9+AJ9)," - ")</f>
        <v>7508</v>
      </c>
      <c r="BC9" s="125">
        <f>IF(ISNUMBER(X9),X9," - ")</f>
        <v>1132</v>
      </c>
      <c r="BD9" s="126">
        <f>IF(ISNUMBER(BA9/AZ9),BA9/AZ9," - ")</f>
        <v>0.96140619029423002</v>
      </c>
      <c r="BE9" s="127">
        <f>IF(ISNUMBER(BB9/BA9),BB9/BA9, " - ")</f>
        <v>2.9841017488076313</v>
      </c>
      <c r="BF9" s="127">
        <f>IF(ISNUMBER(BC9/BA9),BC9/BA9, " - ")</f>
        <v>0.44992050874403816</v>
      </c>
      <c r="BG9" s="196">
        <f>IF(ISNUMBER((AY9+AZ9)/BA9),(AY9+AZ9)/BA9," - ")</f>
        <v>3.9852941176470589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113</v>
      </c>
      <c r="J10" s="181">
        <v>30</v>
      </c>
      <c r="K10" s="181">
        <v>18</v>
      </c>
      <c r="L10" s="181">
        <v>125</v>
      </c>
      <c r="M10" s="181">
        <v>7</v>
      </c>
      <c r="N10" s="181">
        <v>7</v>
      </c>
      <c r="O10" s="181">
        <v>6</v>
      </c>
      <c r="P10" s="181">
        <v>11</v>
      </c>
      <c r="Q10" s="181">
        <v>3</v>
      </c>
      <c r="R10" s="181">
        <v>118</v>
      </c>
      <c r="S10" s="181">
        <v>101</v>
      </c>
      <c r="T10" s="181">
        <v>39</v>
      </c>
      <c r="U10" s="181">
        <v>34</v>
      </c>
      <c r="V10" s="181">
        <v>106</v>
      </c>
      <c r="W10" s="181">
        <v>16</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101</v>
      </c>
      <c r="AZ10" s="129">
        <f t="shared" si="0"/>
        <v>39</v>
      </c>
      <c r="BA10" s="129">
        <f t="shared" si="0"/>
        <v>34</v>
      </c>
      <c r="BB10" s="129">
        <f t="shared" si="0"/>
        <v>106</v>
      </c>
      <c r="BC10" s="125">
        <f t="shared" si="0"/>
        <v>16</v>
      </c>
      <c r="BD10" s="126">
        <f>IF(ISNUMBER(BA10/AZ10),BA10/AZ10," - ")</f>
        <v>0.87179487179487181</v>
      </c>
      <c r="BE10" s="127">
        <f>IF(ISNUMBER(BB10/BA10),BB10/BA10, " - ")</f>
        <v>3.1176470588235294</v>
      </c>
      <c r="BF10" s="127">
        <f>IF(ISNUMBER(BC10/BA10),BC10/BA10, " - ")</f>
        <v>0.47058823529411764</v>
      </c>
      <c r="BG10" s="196">
        <f>IF(ISNUMBER((AY10+AZ10)/BA10),(AY10+AZ10)/BA10," - ")</f>
        <v>4.117647058823529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8974</v>
      </c>
      <c r="J13" s="184">
        <f t="shared" si="6"/>
        <v>4970</v>
      </c>
      <c r="K13" s="184">
        <f t="shared" si="6"/>
        <v>3271</v>
      </c>
      <c r="L13" s="184">
        <f t="shared" si="6"/>
        <v>10639</v>
      </c>
      <c r="M13" s="184">
        <f t="shared" si="6"/>
        <v>547</v>
      </c>
      <c r="N13" s="184">
        <f t="shared" si="6"/>
        <v>2046</v>
      </c>
      <c r="O13" s="184">
        <f t="shared" si="6"/>
        <v>1068</v>
      </c>
      <c r="P13" s="184">
        <f t="shared" si="6"/>
        <v>541</v>
      </c>
      <c r="Q13" s="184">
        <f t="shared" si="6"/>
        <v>419</v>
      </c>
      <c r="R13" s="184">
        <f t="shared" si="6"/>
        <v>8363</v>
      </c>
      <c r="S13" s="184">
        <f t="shared" si="6"/>
        <v>7439</v>
      </c>
      <c r="T13" s="184">
        <f t="shared" si="6"/>
        <v>2551</v>
      </c>
      <c r="U13" s="184">
        <f t="shared" si="6"/>
        <v>2449</v>
      </c>
      <c r="V13" s="184">
        <f t="shared" si="6"/>
        <v>7538</v>
      </c>
      <c r="W13" s="184">
        <f t="shared" si="6"/>
        <v>492</v>
      </c>
      <c r="X13" s="184">
        <f t="shared" si="6"/>
        <v>1143</v>
      </c>
      <c r="Y13" s="184">
        <f t="shared" si="6"/>
        <v>113</v>
      </c>
      <c r="Z13" s="184">
        <f t="shared" si="6"/>
        <v>79</v>
      </c>
      <c r="AA13" s="184">
        <f t="shared" si="6"/>
        <v>66</v>
      </c>
      <c r="AB13" s="184">
        <f t="shared" si="6"/>
        <v>124</v>
      </c>
      <c r="AC13" s="184">
        <f t="shared" si="6"/>
        <v>0</v>
      </c>
      <c r="AD13" s="184">
        <f t="shared" si="6"/>
        <v>0</v>
      </c>
      <c r="AE13" s="184">
        <f t="shared" si="6"/>
        <v>0</v>
      </c>
      <c r="AF13" s="184">
        <f>SUBTOTAL(9,AF9:AF12)</f>
        <v>0</v>
      </c>
      <c r="AG13" s="184">
        <f t="shared" ref="AG13:AT13" si="7">SUBTOTAL(9,AG8:AG12)</f>
        <v>72</v>
      </c>
      <c r="AH13" s="184">
        <f t="shared" si="7"/>
        <v>105</v>
      </c>
      <c r="AI13" s="184">
        <f t="shared" si="7"/>
        <v>101</v>
      </c>
      <c r="AJ13" s="184">
        <f t="shared" si="7"/>
        <v>76</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7511</v>
      </c>
      <c r="AZ13" s="184">
        <f>SUBTOTAL(9,AZ8:AZ12)</f>
        <v>2656</v>
      </c>
      <c r="BA13" s="184">
        <f>SUBTOTAL(9,BA8:BA12)</f>
        <v>2550</v>
      </c>
      <c r="BB13" s="184">
        <f>SUBTOTAL(9,BB8:BB12)</f>
        <v>7614</v>
      </c>
      <c r="BC13" s="184">
        <f>SUBTOTAL(9,BC8:BC12)</f>
        <v>1148</v>
      </c>
      <c r="BD13" s="205">
        <f>IF(ISNUMBER(BA13/AZ13),BA13/AZ13," - ")</f>
        <v>0.96009036144578308</v>
      </c>
      <c r="BE13" s="206">
        <f>IF(ISNUMBER(BB13/BA13),BB13/BA13, " - ")</f>
        <v>2.9858823529411764</v>
      </c>
      <c r="BF13" s="206">
        <f>IF(ISNUMBER(BC13/BA13),BC13/BA13, " - ")</f>
        <v>0.45019607843137255</v>
      </c>
      <c r="BG13" s="207">
        <f>IF(ISNUMBER((AY13+AZ13)/BA13),(AY13+AZ13)/BA13," - ")</f>
        <v>3.9870588235294115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1608</v>
      </c>
      <c r="J15" s="183">
        <v>3024</v>
      </c>
      <c r="K15" s="183">
        <v>3066</v>
      </c>
      <c r="L15" s="183">
        <v>1621</v>
      </c>
      <c r="M15" s="183">
        <v>337</v>
      </c>
      <c r="N15" s="183">
        <v>2020</v>
      </c>
      <c r="O15" s="181">
        <v>114</v>
      </c>
      <c r="P15" s="183">
        <v>93</v>
      </c>
      <c r="Q15" s="183">
        <v>115</v>
      </c>
      <c r="R15" s="183">
        <v>231</v>
      </c>
      <c r="S15" s="183">
        <v>1668</v>
      </c>
      <c r="T15" s="183">
        <v>2902</v>
      </c>
      <c r="U15" s="183">
        <v>2940</v>
      </c>
      <c r="V15" s="183">
        <v>1667</v>
      </c>
      <c r="W15" s="183">
        <v>297</v>
      </c>
      <c r="X15" s="189">
        <v>1848</v>
      </c>
      <c r="Y15" s="202">
        <v>0</v>
      </c>
      <c r="Z15" s="183">
        <v>0</v>
      </c>
      <c r="AA15" s="183">
        <v>0</v>
      </c>
      <c r="AB15" s="183">
        <v>0</v>
      </c>
      <c r="AC15" s="183">
        <v>0</v>
      </c>
      <c r="AD15" s="183">
        <v>28</v>
      </c>
      <c r="AE15" s="183">
        <v>28</v>
      </c>
      <c r="AF15" s="189">
        <v>0</v>
      </c>
      <c r="AG15" s="202">
        <v>0</v>
      </c>
      <c r="AH15" s="183">
        <v>0</v>
      </c>
      <c r="AI15" s="183">
        <v>0</v>
      </c>
      <c r="AJ15" s="203">
        <v>0</v>
      </c>
      <c r="AK15" s="182">
        <v>0</v>
      </c>
      <c r="AL15" s="183">
        <v>13</v>
      </c>
      <c r="AM15" s="183">
        <v>13</v>
      </c>
      <c r="AN15" s="189">
        <v>0</v>
      </c>
      <c r="AO15" s="259">
        <v>4</v>
      </c>
      <c r="AP15" s="155">
        <v>4</v>
      </c>
      <c r="AQ15" s="155">
        <v>4</v>
      </c>
      <c r="AR15" s="155">
        <v>4</v>
      </c>
      <c r="AS15" s="340" t="s">
        <v>526</v>
      </c>
      <c r="AT15" s="203" t="s">
        <v>326</v>
      </c>
      <c r="AU15" s="202"/>
      <c r="AV15" s="203"/>
      <c r="AW15" s="202"/>
      <c r="AX15" s="203"/>
      <c r="AY15" s="128">
        <f t="shared" ref="AY15:BB16" si="9">IF(ISNUMBER(IF(D_I="SI",S15,S15+AK15)),IF(D_I="SI",S15,S15+AK15)," - ")</f>
        <v>1668</v>
      </c>
      <c r="AZ15" s="129">
        <f t="shared" si="9"/>
        <v>2902</v>
      </c>
      <c r="BA15" s="129">
        <f t="shared" si="9"/>
        <v>2940</v>
      </c>
      <c r="BB15" s="129">
        <f t="shared" si="9"/>
        <v>1667</v>
      </c>
      <c r="BC15" s="125">
        <f>IF(ISNUMBER(W15),W15," - ")</f>
        <v>297</v>
      </c>
      <c r="BD15" s="126">
        <f>IF(ISNUMBER(BA15/AZ15),BA15/AZ15," - ")</f>
        <v>1.0130944176430048</v>
      </c>
      <c r="BE15" s="127">
        <f>IF(ISNUMBER(BB15/BA15),BB15/BA15, " - ")</f>
        <v>0.56700680272108839</v>
      </c>
      <c r="BF15" s="127">
        <f>IF(ISNUMBER(BC15/BA15),BC15/BA15, " - ")</f>
        <v>0.10102040816326531</v>
      </c>
      <c r="BG15" s="196">
        <f t="shared" ref="BG15:BG16" si="10">IF(ISNUMBER((AY15+AZ15)/BA15),(AY15+AZ15)/BA15," - ")</f>
        <v>1.5544217687074831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290</v>
      </c>
      <c r="J17" s="183">
        <v>255</v>
      </c>
      <c r="K17" s="183">
        <v>252</v>
      </c>
      <c r="L17" s="183">
        <v>293</v>
      </c>
      <c r="M17" s="183">
        <v>27</v>
      </c>
      <c r="N17" s="183">
        <v>171</v>
      </c>
      <c r="O17" s="183">
        <v>0</v>
      </c>
      <c r="P17" s="183">
        <v>8</v>
      </c>
      <c r="Q17" s="183">
        <v>3</v>
      </c>
      <c r="R17" s="183">
        <v>9</v>
      </c>
      <c r="S17" s="183">
        <v>230</v>
      </c>
      <c r="T17" s="183">
        <v>282</v>
      </c>
      <c r="U17" s="183">
        <v>288</v>
      </c>
      <c r="V17" s="183">
        <v>224</v>
      </c>
      <c r="W17" s="183">
        <v>18</v>
      </c>
      <c r="X17" s="189">
        <v>184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230</v>
      </c>
      <c r="AZ17" s="129">
        <f t="shared" si="14"/>
        <v>282</v>
      </c>
      <c r="BA17" s="129">
        <f t="shared" si="14"/>
        <v>288</v>
      </c>
      <c r="BB17" s="129">
        <f t="shared" si="14"/>
        <v>224</v>
      </c>
      <c r="BC17" s="125">
        <f>IF(ISNUMBER(W17),W17," - ")</f>
        <v>18</v>
      </c>
      <c r="BD17" s="126">
        <f>IF(ISNUMBER(BA17/AZ17),BA17/AZ17," - ")</f>
        <v>1.0212765957446808</v>
      </c>
      <c r="BE17" s="127">
        <f>IF(ISNUMBER(BB17/BA17),BB17/BA17, " - ")</f>
        <v>0.77777777777777779</v>
      </c>
      <c r="BF17" s="127">
        <f>IF(ISNUMBER(BC17/BA17),BC17/BA17, " - ")</f>
        <v>6.25E-2</v>
      </c>
      <c r="BG17" s="196">
        <f>IF(ISNUMBER((AY17+AZ17)/BA17),(AY17+AZ17)/BA17," - ")</f>
        <v>1.7777777777777777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1898</v>
      </c>
      <c r="J18" s="184">
        <f t="shared" si="15"/>
        <v>3279</v>
      </c>
      <c r="K18" s="184">
        <f t="shared" si="15"/>
        <v>3318</v>
      </c>
      <c r="L18" s="184">
        <f t="shared" si="15"/>
        <v>1914</v>
      </c>
      <c r="M18" s="184">
        <f t="shared" si="15"/>
        <v>364</v>
      </c>
      <c r="N18" s="184">
        <f t="shared" si="15"/>
        <v>2191</v>
      </c>
      <c r="O18" s="184">
        <f t="shared" si="15"/>
        <v>114</v>
      </c>
      <c r="P18" s="184">
        <f t="shared" si="15"/>
        <v>101</v>
      </c>
      <c r="Q18" s="184">
        <f t="shared" si="15"/>
        <v>118</v>
      </c>
      <c r="R18" s="184">
        <f t="shared" si="15"/>
        <v>240</v>
      </c>
      <c r="S18" s="184">
        <f t="shared" si="15"/>
        <v>1898</v>
      </c>
      <c r="T18" s="184">
        <f t="shared" si="15"/>
        <v>3184</v>
      </c>
      <c r="U18" s="184">
        <f t="shared" si="15"/>
        <v>3228</v>
      </c>
      <c r="V18" s="184">
        <f t="shared" si="15"/>
        <v>1891</v>
      </c>
      <c r="W18" s="184">
        <f t="shared" si="15"/>
        <v>315</v>
      </c>
      <c r="X18" s="184">
        <f t="shared" si="15"/>
        <v>2032</v>
      </c>
      <c r="Y18" s="184">
        <f t="shared" si="15"/>
        <v>0</v>
      </c>
      <c r="Z18" s="184">
        <f t="shared" si="15"/>
        <v>0</v>
      </c>
      <c r="AA18" s="184">
        <f t="shared" si="15"/>
        <v>0</v>
      </c>
      <c r="AB18" s="184">
        <f t="shared" si="15"/>
        <v>0</v>
      </c>
      <c r="AC18" s="184">
        <f t="shared" si="15"/>
        <v>0</v>
      </c>
      <c r="AD18" s="184">
        <f t="shared" si="15"/>
        <v>28</v>
      </c>
      <c r="AE18" s="184">
        <f t="shared" si="15"/>
        <v>28</v>
      </c>
      <c r="AF18" s="184">
        <f t="shared" si="15"/>
        <v>0</v>
      </c>
      <c r="AG18" s="184">
        <f t="shared" si="15"/>
        <v>0</v>
      </c>
      <c r="AH18" s="184">
        <f t="shared" si="15"/>
        <v>0</v>
      </c>
      <c r="AI18" s="184">
        <f t="shared" si="15"/>
        <v>0</v>
      </c>
      <c r="AJ18" s="184">
        <f t="shared" si="15"/>
        <v>0</v>
      </c>
      <c r="AK18" s="184">
        <f t="shared" si="15"/>
        <v>0</v>
      </c>
      <c r="AL18" s="184">
        <f t="shared" si="15"/>
        <v>13</v>
      </c>
      <c r="AM18" s="184">
        <f t="shared" si="15"/>
        <v>13</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1898</v>
      </c>
      <c r="AZ18" s="184">
        <f>SUBTOTAL(9,AZ14:AZ17)</f>
        <v>3184</v>
      </c>
      <c r="BA18" s="184">
        <f>SUBTOTAL(9,BA14:BA17)</f>
        <v>3228</v>
      </c>
      <c r="BB18" s="184">
        <f>SUBTOTAL(9,BB14:BB17)</f>
        <v>1891</v>
      </c>
      <c r="BC18" s="184">
        <f>SUBTOTAL(9,BC14:BC17)</f>
        <v>315</v>
      </c>
      <c r="BD18" s="205">
        <f>IF(ISNUMBER(BA18/AZ18),BA18/AZ18," - ")</f>
        <v>1.0138190954773869</v>
      </c>
      <c r="BE18" s="206">
        <f>IF(ISNUMBER(BB18/BA18),BB18/BA18, " - ")</f>
        <v>0.58581164807930608</v>
      </c>
      <c r="BF18" s="206">
        <f>IF(ISNUMBER(BC18/BA18),BC18/BA18, " - ")</f>
        <v>9.7583643122676575E-2</v>
      </c>
      <c r="BG18" s="207">
        <f>IF(ISNUMBER((AY18+AZ18)/BA18),(AY18+AZ18)/BA18," - ")</f>
        <v>1.5743494423791822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10872</v>
      </c>
      <c r="J19" s="134">
        <f t="shared" si="18"/>
        <v>8249</v>
      </c>
      <c r="K19" s="134">
        <f t="shared" si="18"/>
        <v>6589</v>
      </c>
      <c r="L19" s="134">
        <f t="shared" si="18"/>
        <v>12553</v>
      </c>
      <c r="M19" s="134">
        <f t="shared" si="18"/>
        <v>911</v>
      </c>
      <c r="N19" s="134">
        <f t="shared" si="18"/>
        <v>4237</v>
      </c>
      <c r="O19" s="134">
        <f t="shared" si="18"/>
        <v>1182</v>
      </c>
      <c r="P19" s="134">
        <f t="shared" si="18"/>
        <v>642</v>
      </c>
      <c r="Q19" s="134">
        <f t="shared" si="18"/>
        <v>537</v>
      </c>
      <c r="R19" s="134">
        <f t="shared" si="18"/>
        <v>8603</v>
      </c>
      <c r="S19" s="134">
        <f t="shared" si="18"/>
        <v>9337</v>
      </c>
      <c r="T19" s="134">
        <f t="shared" si="18"/>
        <v>5735</v>
      </c>
      <c r="U19" s="134">
        <f t="shared" si="18"/>
        <v>5677</v>
      </c>
      <c r="V19" s="134">
        <f t="shared" si="18"/>
        <v>9429</v>
      </c>
      <c r="W19" s="134">
        <f t="shared" si="18"/>
        <v>807</v>
      </c>
      <c r="X19" s="134">
        <f t="shared" si="18"/>
        <v>3175</v>
      </c>
      <c r="Y19" s="134">
        <f t="shared" si="18"/>
        <v>113</v>
      </c>
      <c r="Z19" s="134">
        <f t="shared" si="18"/>
        <v>79</v>
      </c>
      <c r="AA19" s="134">
        <f t="shared" si="18"/>
        <v>66</v>
      </c>
      <c r="AB19" s="134">
        <f t="shared" si="18"/>
        <v>124</v>
      </c>
      <c r="AC19" s="134">
        <f t="shared" si="18"/>
        <v>0</v>
      </c>
      <c r="AD19" s="134">
        <f t="shared" si="18"/>
        <v>28</v>
      </c>
      <c r="AE19" s="134">
        <f t="shared" si="18"/>
        <v>28</v>
      </c>
      <c r="AF19" s="134">
        <f t="shared" si="18"/>
        <v>0</v>
      </c>
      <c r="AG19" s="134">
        <f t="shared" si="18"/>
        <v>72</v>
      </c>
      <c r="AH19" s="134">
        <f t="shared" si="18"/>
        <v>105</v>
      </c>
      <c r="AI19" s="134">
        <f t="shared" si="18"/>
        <v>101</v>
      </c>
      <c r="AJ19" s="134">
        <f t="shared" si="18"/>
        <v>76</v>
      </c>
      <c r="AK19" s="134">
        <f t="shared" si="18"/>
        <v>0</v>
      </c>
      <c r="AL19" s="134">
        <f t="shared" si="18"/>
        <v>13</v>
      </c>
      <c r="AM19" s="134">
        <f t="shared" si="18"/>
        <v>13</v>
      </c>
      <c r="AN19" s="210">
        <f t="shared" si="18"/>
        <v>0</v>
      </c>
      <c r="AO19" s="211">
        <v>10</v>
      </c>
      <c r="AP19" s="211">
        <v>10</v>
      </c>
      <c r="AQ19" s="211">
        <v>10</v>
      </c>
      <c r="AR19" s="211">
        <v>10</v>
      </c>
      <c r="AS19" s="153">
        <f t="shared" si="18"/>
        <v>0</v>
      </c>
      <c r="AT19" s="153">
        <f t="shared" si="18"/>
        <v>0</v>
      </c>
      <c r="AU19" s="211"/>
      <c r="AV19" s="212"/>
      <c r="AW19" s="211"/>
      <c r="AX19" s="212"/>
      <c r="AY19" s="133">
        <f>SUBTOTAL(9,AY9:AY18)</f>
        <v>9409</v>
      </c>
      <c r="AZ19" s="134">
        <f>SUBTOTAL(9,AZ9:AZ18)</f>
        <v>5840</v>
      </c>
      <c r="BA19" s="134">
        <f>SUBTOTAL(9,BA9:BA18)</f>
        <v>5778</v>
      </c>
      <c r="BB19" s="134">
        <f>SUBTOTAL(9,BB9:BB18)</f>
        <v>9505</v>
      </c>
      <c r="BC19" s="135">
        <f>SUBTOTAL(9,BC9:BC18)</f>
        <v>1463</v>
      </c>
      <c r="BD19" s="213">
        <f>IF(ISNUMBER(BA19/AZ19),BA19/AZ19," - ")</f>
        <v>0.98938356164383556</v>
      </c>
      <c r="BE19" s="210">
        <f>IF(ISNUMBER(BB19/BA19),BB19/BA19, " - ")</f>
        <v>1.6450328833506405</v>
      </c>
      <c r="BF19" s="210">
        <f>IF(ISNUMBER(BC19/BA19),BC19/BA19, " - ")</f>
        <v>0.25320179993077191</v>
      </c>
      <c r="BG19" s="135">
        <f>IF(ISNUMBER((AY19+AZ19)/BA19),(AY19+AZ19)/BA19," - ")</f>
        <v>2.6391484942886811</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uSjokl3dRyTWvJOItlLAsmrhUCPqdncCOzKsCYXVdjuBrAr25bBWbiKk+sHSMkaGGk3ms8N1vyWP3bbwuCiLg==" saltValue="5xuZHSr/nmO/tPoSnUN/p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V9DING9dC8/OU9GB0UFwJ7kSlPwclXBZo787Zt9vwKbYc80lsMGN0I4kgtmvJ08GiH3J6earkXQXWyVw+tbbA==" saltValue="tBc1Os4xJluwnM89Uvcmf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FUENGIROLA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79</v>
      </c>
      <c r="O9" s="334"/>
      <c r="P9" s="334"/>
      <c r="Q9" s="226">
        <f>IF(ISNUMBER(Datos!P9),Datos!P9,0)</f>
        <v>530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416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124</v>
      </c>
      <c r="AI9" s="334" t="str">
        <f>IF(ISNUMBER(Datos!CD9),Datos!CD9,"-")</f>
        <v>-</v>
      </c>
      <c r="AJ9" s="334" t="str">
        <f>IF(ISNUMBER(Datos!EN9),Datos!EN9," - ")</f>
        <v xml:space="preserve"> - </v>
      </c>
      <c r="AK9" s="334"/>
      <c r="AL9" s="479"/>
      <c r="AM9" s="335">
        <f>IF(ISNUMBER(Datos!R9),Datos!R9," - ")</f>
        <v>8245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540</v>
      </c>
      <c r="BD9" s="229">
        <f>IF(ISNUMBER(Datos!N9),Datos!N9," - ")</f>
        <v>2039</v>
      </c>
      <c r="BE9" s="229" t="str">
        <f>IF(ISNUMBER(Datos!BW9),Datos!BW9," - ")</f>
        <v xml:space="preserve"> - </v>
      </c>
      <c r="BF9" s="228" t="str">
        <f>IF(ISNUMBER(Datos!BX9),Datos!BX9," - ")</f>
        <v xml:space="preserve"> - </v>
      </c>
      <c r="BG9" s="243">
        <f>IF(ISNUMBER(IF(J_V="SI",Datos!K9/Datos!J9,(Datos!K9+Datos!AA9)/(Datos!J9+Datos!Z9))),IF(J_V="SI",Datos!K9/Datos!J9,(Datos!K9+Datos!AA9)/(Datos!J9+Datos!Z9))," - ")</f>
        <v>0.66128710898585374</v>
      </c>
      <c r="BH9" s="260">
        <f>IF(ISNUMBER(((IF(J_V="SI",Datos!L9/Datos!K9,(Datos!L9+Datos!AB9)/(Datos!K9+Datos!AA9)))*11)/factor_trimestre),((IF(J_V="SI",Datos!L9/Datos!K9,(Datos!L9+Datos!AB9)/(Datos!K9+Datos!AA9)))*11)/factor_trimestre," - ")</f>
        <v>9.6155468514612839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1.4020415693026688E-2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113</v>
      </c>
      <c r="G10" s="333">
        <f>IF(ISNUMBER(Datos!I10),Datos!I10," - ")</f>
        <v>113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3</v>
      </c>
      <c r="AD10" s="334"/>
      <c r="AE10" s="484"/>
      <c r="AF10" s="332">
        <f>IF(ISNUMBER(Datos!L10),Datos!L10,"-")</f>
        <v>125</v>
      </c>
      <c r="AG10" s="334"/>
      <c r="AH10" s="334"/>
      <c r="AI10" s="334"/>
      <c r="AJ10" s="334"/>
      <c r="AK10" s="334"/>
      <c r="AL10" s="479"/>
      <c r="AM10" s="335">
        <f>IF(ISNUMBER(Datos!R10),Datos!R10," - ")</f>
        <v>118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7</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20.833333333333332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7.2727272727272724E-2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113</v>
      </c>
      <c r="G13" s="898">
        <f t="shared" si="0"/>
        <v>113</v>
      </c>
      <c r="H13" s="899">
        <f t="shared" si="0"/>
        <v>0</v>
      </c>
      <c r="I13" s="898">
        <f t="shared" si="0"/>
        <v>0</v>
      </c>
      <c r="J13" s="867">
        <f t="shared" si="0"/>
        <v>0</v>
      </c>
      <c r="K13" s="867">
        <f t="shared" si="0"/>
        <v>0</v>
      </c>
      <c r="L13" s="899">
        <f t="shared" si="0"/>
        <v>0</v>
      </c>
      <c r="M13" s="899">
        <f t="shared" si="0"/>
        <v>0</v>
      </c>
      <c r="N13" s="899">
        <f t="shared" si="0"/>
        <v>79</v>
      </c>
      <c r="O13" s="900">
        <f t="shared" si="0"/>
        <v>0</v>
      </c>
      <c r="P13" s="900">
        <f t="shared" si="0"/>
        <v>0</v>
      </c>
      <c r="Q13" s="899">
        <f t="shared" si="0"/>
        <v>541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419</v>
      </c>
      <c r="AD13" s="899">
        <f t="shared" si="1"/>
        <v>0</v>
      </c>
      <c r="AE13" s="899">
        <f t="shared" si="1"/>
        <v>0</v>
      </c>
      <c r="AF13" s="899">
        <f t="shared" si="1"/>
        <v>125</v>
      </c>
      <c r="AG13" s="899">
        <f t="shared" si="1"/>
        <v>0</v>
      </c>
      <c r="AH13" s="899">
        <f t="shared" si="1"/>
        <v>124</v>
      </c>
      <c r="AI13" s="899">
        <f t="shared" si="1"/>
        <v>0</v>
      </c>
      <c r="AJ13" s="899">
        <f t="shared" si="1"/>
        <v>0</v>
      </c>
      <c r="AK13" s="899">
        <f t="shared" si="1"/>
        <v>0</v>
      </c>
      <c r="AL13" s="899">
        <f t="shared" si="1"/>
        <v>0</v>
      </c>
      <c r="AM13" s="899">
        <f t="shared" si="1"/>
        <v>8363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547</v>
      </c>
      <c r="BD13" s="899">
        <f t="shared" si="1"/>
        <v>2046</v>
      </c>
      <c r="BE13" s="899">
        <f t="shared" si="1"/>
        <v>0</v>
      </c>
      <c r="BF13" s="899">
        <f t="shared" si="1"/>
        <v>0</v>
      </c>
      <c r="BG13" s="899">
        <f>IF(ISNUMBER(Datos!K13/Datos!J13),Datos!K13/Datos!J13," - ")</f>
        <v>0.65814889336016091</v>
      </c>
      <c r="BH13" s="903">
        <f>IF(ISNUMBER(((Datos!L13/Datos!K13)*11)/factor_trimestre),((Datos!L13/Datos!K13)*11)/factor_trimestre," - ")</f>
        <v>9.7575664934270883</v>
      </c>
      <c r="BI13" s="899">
        <f>IF(ISNUMBER('Resol  Asuntos'!D13/NºAsuntos!G13),'Resol  Asuntos'!D13/NºAsuntos!G13," - ")</f>
        <v>0.16391968834282289</v>
      </c>
      <c r="BJ13" s="899" t="str">
        <f>IF(ISNUMBER(Datos!CI13/Datos!CJ13),Datos!CI13/Datos!CJ13," - ")</f>
        <v xml:space="preserve"> - </v>
      </c>
      <c r="BK13" s="899">
        <f>SUBTOTAL(9,BK8:BK12)</f>
        <v>0</v>
      </c>
      <c r="BL13" s="899">
        <f>IF(ISNUMBER((I13-AB13+L13)/(F13)),(I13-AB13+L13)/(F13)," - ")</f>
        <v>-0.15929203539823009</v>
      </c>
      <c r="BM13" s="904">
        <f>SUBTOTAL(9,BM9:BM12)</f>
        <v>8.674768842029941E-2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1663</v>
      </c>
      <c r="G15" s="598">
        <f>IF(ISNUMBER(IF(D_I="SI",Datos!I15,Datos!I15+Datos!AC15)),IF(D_I="SI",Datos!I15,Datos!I15+Datos!AC15)," - ")</f>
        <v>1608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3066</v>
      </c>
      <c r="AC15" s="226">
        <f>IF(ISNUMBER(Datos!Q15),Datos!Q15," - ")</f>
        <v>115</v>
      </c>
      <c r="AD15" s="334"/>
      <c r="AE15" s="484"/>
      <c r="AF15" s="596">
        <f>IF(ISNUMBER(IF(D_I="SI",Datos!L15,Datos!L15+Datos!AF15)),IF(D_I="SI",Datos!L15,Datos!L15+Datos!AF15)," - ")</f>
        <v>1621</v>
      </c>
      <c r="AG15" s="334"/>
      <c r="AH15" s="334"/>
      <c r="AI15" s="334"/>
      <c r="AJ15" s="334"/>
      <c r="AK15" s="334"/>
      <c r="AL15" s="479"/>
      <c r="AM15" s="335">
        <f>IF(ISNUMBER(Datos!R15),Datos!R15," - ")</f>
        <v>231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337</v>
      </c>
      <c r="BD15" s="229">
        <f>IF(ISNUMBER(Datos!N15),Datos!N15," - ")</f>
        <v>2020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1.0138888888888888</v>
      </c>
      <c r="BH15" s="260">
        <f>IF(ISNUMBER(((IF(D_I="SI",Datos!L15/Datos!K15,(Datos!L15+Datos!AF15)/(Datos!K15+Datos!AE15)))*11)/factor_trimestre),((IF(D_I="SI",Datos!L15/Datos!K15,(Datos!L15+Datos!AF15)/(Datos!K15+Datos!AE15)))*11)/factor_trimestre," - ")</f>
        <v>1.5861056751467713</v>
      </c>
      <c r="BI15" s="243">
        <f>IF(ISNUMBER('Resol  Asuntos'!D15/NºAsuntos!G15),'Resol  Asuntos'!D15/NºAsuntos!G15," - ")</f>
        <v>0.10991519895629484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252</v>
      </c>
      <c r="AC17" s="226">
        <f>IF(ISNUMBER(Datos!Q17),Datos!Q17," - ")</f>
        <v>3</v>
      </c>
      <c r="AD17" s="334"/>
      <c r="AE17" s="484"/>
      <c r="AF17" s="332">
        <f>IF(ISNUMBER(Datos!L17),Datos!L17,"-")</f>
        <v>293</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171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0.9882352941176471</v>
      </c>
      <c r="BH17" s="260">
        <f>IF(ISNUMBER(((IF(D_I="SI",Datos!L17/Datos!K17,(Datos!L17+Datos!AF17)/(Datos!K17+Datos!AE17)))*11)/factor_trimestre),((IF(D_I="SI",Datos!L17/Datos!K17,(Datos!L17+Datos!AF17)/(Datos!K17+Datos!AE17)))*11)/factor_trimestre," - ")</f>
        <v>3.4880952380952386</v>
      </c>
      <c r="BI17" s="243">
        <f>IF(ISNUMBER('Resol  Asuntos'!D17/NºAsuntos!G17),'Resol  Asuntos'!D17/NºAsuntos!G17," - ")</f>
        <v>0.10714285714285714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1663</v>
      </c>
      <c r="G18" s="898">
        <f>SUBTOTAL(9,G15:G17)</f>
        <v>1898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3318</v>
      </c>
      <c r="AC18" s="899">
        <f t="shared" si="4"/>
        <v>118</v>
      </c>
      <c r="AD18" s="899">
        <f t="shared" si="4"/>
        <v>0</v>
      </c>
      <c r="AE18" s="899">
        <f t="shared" si="4"/>
        <v>0</v>
      </c>
      <c r="AF18" s="899">
        <f t="shared" si="4"/>
        <v>1914</v>
      </c>
      <c r="AG18" s="899">
        <f t="shared" si="4"/>
        <v>0</v>
      </c>
      <c r="AH18" s="899">
        <f t="shared" si="4"/>
        <v>0</v>
      </c>
      <c r="AI18" s="899">
        <f t="shared" si="4"/>
        <v>0</v>
      </c>
      <c r="AJ18" s="899">
        <f t="shared" si="4"/>
        <v>0</v>
      </c>
      <c r="AK18" s="899">
        <f t="shared" si="4"/>
        <v>0</v>
      </c>
      <c r="AL18" s="899">
        <f t="shared" si="4"/>
        <v>0</v>
      </c>
      <c r="AM18" s="899">
        <f t="shared" si="4"/>
        <v>240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364</v>
      </c>
      <c r="BD18" s="899">
        <f t="shared" si="4"/>
        <v>2191</v>
      </c>
      <c r="BE18" s="899">
        <f t="shared" si="4"/>
        <v>0</v>
      </c>
      <c r="BF18" s="899">
        <f t="shared" si="4"/>
        <v>0</v>
      </c>
      <c r="BG18" s="899">
        <f>IF(ISNUMBER(Datos!K18/Datos!J18),Datos!K18/Datos!J18," - ")</f>
        <v>1.0118938700823421</v>
      </c>
      <c r="BH18" s="903">
        <f>IF(ISNUMBER(((Datos!L18/Datos!K18)*11)/factor_trimestre),((Datos!L18/Datos!K18)*11)/factor_trimestre," - ")</f>
        <v>1.7305605786618445</v>
      </c>
      <c r="BI18" s="899">
        <f>SUBTOTAL(9,BI15:BI17)</f>
        <v>0.21705805609915196</v>
      </c>
      <c r="BJ18" s="899">
        <f>SUBTOTAL(9,BJ15:BJ17)</f>
        <v>0</v>
      </c>
      <c r="BK18" s="899">
        <f>SUBTOTAL(9,BK15:BK17)</f>
        <v>0</v>
      </c>
      <c r="BL18" s="899">
        <f>IF(ISNUMBER((I18-AB18+L18)/(F18)),(I18-AB18+L18)/(F18)," - ")</f>
        <v>-1.995189416716777</v>
      </c>
      <c r="BM18" s="905">
        <f>IF(ISNUMBER((Datos!P18-Datos!Q18)/(Datos!R18-Datos!P18+Datos!Q18)),(Datos!P18-Datos!Q18)/(Datos!R18-Datos!P18+Datos!Q18)," - ")</f>
        <v>-6.6147859922178989E-2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1776</v>
      </c>
      <c r="G19" s="820">
        <f t="shared" si="6"/>
        <v>2011</v>
      </c>
      <c r="H19" s="822">
        <f t="shared" si="6"/>
        <v>0</v>
      </c>
      <c r="I19" s="820">
        <f t="shared" si="6"/>
        <v>0</v>
      </c>
      <c r="J19" s="822">
        <f t="shared" si="6"/>
        <v>0</v>
      </c>
      <c r="K19" s="822">
        <f t="shared" si="6"/>
        <v>0</v>
      </c>
      <c r="L19" s="881">
        <f t="shared" si="6"/>
        <v>0</v>
      </c>
      <c r="M19" s="881">
        <f t="shared" si="6"/>
        <v>0</v>
      </c>
      <c r="N19" s="881">
        <f t="shared" si="6"/>
        <v>79</v>
      </c>
      <c r="O19" s="881">
        <f t="shared" si="6"/>
        <v>0</v>
      </c>
      <c r="P19" s="881">
        <f t="shared" si="6"/>
        <v>0</v>
      </c>
      <c r="Q19" s="822">
        <f t="shared" si="6"/>
        <v>642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3336</v>
      </c>
      <c r="AC19" s="821">
        <f t="shared" si="7"/>
        <v>537</v>
      </c>
      <c r="AD19" s="821">
        <f t="shared" si="7"/>
        <v>0</v>
      </c>
      <c r="AE19" s="821">
        <f t="shared" si="7"/>
        <v>0</v>
      </c>
      <c r="AF19" s="828">
        <f t="shared" si="7"/>
        <v>2039</v>
      </c>
      <c r="AG19" s="828">
        <f t="shared" si="7"/>
        <v>0</v>
      </c>
      <c r="AH19" s="828">
        <f t="shared" si="7"/>
        <v>124</v>
      </c>
      <c r="AI19" s="828">
        <f t="shared" si="7"/>
        <v>0</v>
      </c>
      <c r="AJ19" s="821">
        <f t="shared" si="7"/>
        <v>0</v>
      </c>
      <c r="AK19" s="828">
        <f t="shared" si="7"/>
        <v>0</v>
      </c>
      <c r="AL19" s="828">
        <f t="shared" si="7"/>
        <v>0</v>
      </c>
      <c r="AM19" s="828">
        <f t="shared" si="7"/>
        <v>8603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911</v>
      </c>
      <c r="BD19" s="820">
        <f t="shared" si="7"/>
        <v>4237</v>
      </c>
      <c r="BE19" s="820">
        <f t="shared" si="7"/>
        <v>0</v>
      </c>
      <c r="BF19" s="830">
        <f t="shared" si="7"/>
        <v>0</v>
      </c>
      <c r="BG19" s="915">
        <f>IF(ISNUMBER(Datos!K19/Datos!J19),Datos!K19/Datos!J19," - ")</f>
        <v>0.79876348648321005</v>
      </c>
      <c r="BH19" s="915">
        <f>IF(ISNUMBER(((Datos!L19/Datos!K19)*11)/factor_trimestre),((Datos!L19/Datos!K19)*11)/factor_trimestre," - ")</f>
        <v>5.7154348156017605</v>
      </c>
      <c r="BI19" s="813">
        <f>IF(ISNUMBER(Datos!J19/Datos!I19),Datos!J19/Datos!I19," - ")</f>
        <v>0.75873804267844003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-1.8783783783783783</v>
      </c>
      <c r="BM19" s="889">
        <f>IF(ISNUMBER((Datos!P19-Datos!Q19+R19)/(Datos!R19-Datos!P19+Datos!Q19-R19)),(Datos!P19-Datos!Q19+R19)/(Datos!R19-Datos!P19+Datos!Q19-R19)," - ")</f>
        <v>1.2355848434925865E-2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804.4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894.89291724392001</v>
      </c>
      <c r="G21" s="552">
        <f>IF(ISNUMBER(STDEV(G8:G18)),STDEV(G8:G18),"-")</f>
        <v>874.98702847527977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1700.7730007264342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238.48326286485323</v>
      </c>
      <c r="BD21" s="551"/>
      <c r="BE21" s="551">
        <f>IF(ISNUMBER(STDEV(BE8:BE18)),STDEV(BE8:BE18),"-")</f>
        <v>0</v>
      </c>
      <c r="BF21" s="556">
        <f>IF(ISNUMBER(STDEV(BF8:BF18)),STDEV(BF8:BF18),"-")</f>
        <v>0</v>
      </c>
      <c r="BG21" s="775">
        <f>IF(ISNUMBER(STDEV(BG8:BG18)),STDEV(BG8:BG18),"-")</f>
        <v>0.20123352935827224</v>
      </c>
      <c r="BH21" s="776">
        <f>IF(ISNUMBER(STDEV(BH8:BH18)),STDEV(BH8:BH18),"-")</f>
        <v>7.3624957745876189</v>
      </c>
      <c r="BI21" s="249">
        <f>IF(ISNUMBER(STDEV(BI8:BI18)),STDEV(BI8:BI18),"-")</f>
        <v>5.2067590879774542E-2</v>
      </c>
      <c r="BJ21" s="230" t="str">
        <f>IF(ISNUMBER(BL21/BM21),BL21/BM21," - ")</f>
        <v xml:space="preserve"> - </v>
      </c>
      <c r="BK21" s="575"/>
      <c r="BL21" s="559">
        <f>IF(ISNUMBER(STDEV(BL8:BL18)),STDEV(BL8:BL18),"-")</f>
        <v>1.2981754878929694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82z7wJ2bUrB612cwq/wjr2LhS/MkjDOraZ/X8cOhbdPaeHgK2WnHwpvlQpyWnvn0Hsbc7yCq71nVj9RXe9Sffw==" saltValue="5JjMmUm8Q9Zsfb5mmFyNH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FUENGIROLA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530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416</v>
      </c>
      <c r="AA9" s="332" t="str">
        <f>IF(ISNUMBER(IF(J_V="SI",Datos!L9,Datos!L9+Datos!AB9)-IF(Monitorios="SI",Datos!CD9,0)),
                          IF(J_V="SI",Datos!L9,Datos!L9+Datos!AB9)-IF(Monitorios="SI",Datos!CD9,0),
                          " - ")</f>
        <v xml:space="preserve"> - </v>
      </c>
      <c r="AB9" s="334"/>
      <c r="AC9" s="334"/>
      <c r="AD9" s="484"/>
      <c r="AE9" s="484">
        <f>IF(ISNUMBER(Datos!R9),Datos!R9," - ")</f>
        <v>8245</v>
      </c>
      <c r="AF9" s="229" t="str">
        <f>IF(ISNUMBER(Datos!BV9),Datos!BV9," - ")</f>
        <v xml:space="preserve"> - </v>
      </c>
      <c r="AG9" s="225" t="str">
        <f>IF(ISNUMBER(Datos!DV9),Datos!DV9," - ")</f>
        <v xml:space="preserve"> - </v>
      </c>
      <c r="AH9" s="298"/>
      <c r="AI9" s="227"/>
      <c r="AJ9" s="225">
        <f>IF(ISNUMBER(Datos!M9),Datos!M9," - ")</f>
        <v>540</v>
      </c>
      <c r="AK9" s="229">
        <f>IF(ISNUMBER(Datos!N9),Datos!N9," - ")</f>
        <v>2039</v>
      </c>
      <c r="AL9" s="229" t="str">
        <f>IF(ISNUMBER(Datos!BW9),Datos!BW9," - ")</f>
        <v xml:space="preserve"> - </v>
      </c>
      <c r="AM9" s="228" t="str">
        <f>IF(ISNUMBER(Datos!BX9),Datos!BX9," - ")</f>
        <v xml:space="preserve"> - </v>
      </c>
      <c r="AN9" s="243"/>
      <c r="AO9" s="260">
        <f>IF(ISNUMBER(((NºAsuntos!I9/NºAsuntos!G9)*11)/factor_trimestre),((NºAsuntos!I9/NºAsuntos!G9)*11)/factor_trimestre," - ")</f>
        <v>9.6155468514612839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1.4020415693026688E-2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113</v>
      </c>
      <c r="G10" s="225">
        <f>IF(ISNUMBER(Datos!I10),Datos!I10," - ")</f>
        <v>113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3</v>
      </c>
      <c r="AA10" s="332">
        <f>IF(ISNUMBER(Datos!L10),Datos!L10,"-")</f>
        <v>125</v>
      </c>
      <c r="AB10" s="334"/>
      <c r="AC10" s="334"/>
      <c r="AD10" s="484"/>
      <c r="AE10" s="484">
        <f>IF(ISNUMBER(Datos!R10),Datos!R10," - ")</f>
        <v>118</v>
      </c>
      <c r="AF10" s="229" t="str">
        <f>IF(ISNUMBER(Datos!BV10),Datos!BV10," - ")</f>
        <v xml:space="preserve"> - </v>
      </c>
      <c r="AG10" s="225" t="str">
        <f>IF(ISNUMBER(Datos!DV10),Datos!DV10," - ")</f>
        <v xml:space="preserve"> - </v>
      </c>
      <c r="AH10" s="298"/>
      <c r="AI10" s="227"/>
      <c r="AJ10" s="225">
        <f>IF(ISNUMBER(Datos!M10),Datos!M10," - ")</f>
        <v>7</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20.833333333333332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7.2727272727272724E-2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113</v>
      </c>
      <c r="G13" s="898">
        <f>SUBTOTAL(9,G8:G12)</f>
        <v>113</v>
      </c>
      <c r="H13" s="908"/>
      <c r="I13" s="898">
        <f t="shared" ref="I13:N13" si="0">SUBTOTAL(9,I8:I12)</f>
        <v>0</v>
      </c>
      <c r="J13" s="867">
        <f t="shared" si="0"/>
        <v>0</v>
      </c>
      <c r="K13" s="908">
        <f t="shared" si="0"/>
        <v>0</v>
      </c>
      <c r="L13" s="908">
        <f t="shared" si="0"/>
        <v>0</v>
      </c>
      <c r="M13" s="908">
        <f t="shared" si="0"/>
        <v>0</v>
      </c>
      <c r="N13" s="908">
        <f t="shared" si="0"/>
        <v>541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419</v>
      </c>
      <c r="AA13" s="900">
        <f t="shared" si="2"/>
        <v>125</v>
      </c>
      <c r="AB13" s="900">
        <f t="shared" si="2"/>
        <v>0</v>
      </c>
      <c r="AC13" s="900">
        <f t="shared" si="2"/>
        <v>0</v>
      </c>
      <c r="AD13" s="900">
        <f t="shared" si="2"/>
        <v>0</v>
      </c>
      <c r="AE13" s="900">
        <f t="shared" si="2"/>
        <v>8363</v>
      </c>
      <c r="AF13" s="908">
        <f t="shared" si="2"/>
        <v>0</v>
      </c>
      <c r="AG13" s="908">
        <f t="shared" si="2"/>
        <v>0</v>
      </c>
      <c r="AH13" s="908">
        <f t="shared" si="2"/>
        <v>0</v>
      </c>
      <c r="AI13" s="908">
        <f t="shared" si="2"/>
        <v>0</v>
      </c>
      <c r="AJ13" s="908">
        <f t="shared" si="2"/>
        <v>547</v>
      </c>
      <c r="AK13" s="908">
        <f t="shared" si="2"/>
        <v>2046</v>
      </c>
      <c r="AL13" s="908">
        <f t="shared" si="2"/>
        <v>0</v>
      </c>
      <c r="AM13" s="908">
        <f t="shared" si="2"/>
        <v>0</v>
      </c>
      <c r="AN13" s="908">
        <f t="shared" si="2"/>
        <v>0</v>
      </c>
      <c r="AO13" s="904">
        <f>IF(ISNUMBER(((NºAsuntos!I13/NºAsuntos!G13)*11)/factor_trimestre),((NºAsuntos!I13/NºAsuntos!G13)*11)/factor_trimestre," - ")</f>
        <v>9.6760563380281699</v>
      </c>
      <c r="AP13" s="910" t="str">
        <f>IF(ISNUMBER(Datos!CI13/Datos!CJ13),Datos!CI13/Datos!CJ13," - ")</f>
        <v xml:space="preserve"> - </v>
      </c>
      <c r="AQ13" s="928">
        <f t="shared" ref="AQ13:AV13" si="3">SUBTOTAL(9,AQ9:AQ12)</f>
        <v>0</v>
      </c>
      <c r="AR13" s="928">
        <f t="shared" si="3"/>
        <v>8.674768842029941E-2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1663</v>
      </c>
      <c r="G15" s="225">
        <f>IF(ISNUMBER(IF(D_I="SI",Datos!I15,Datos!I15+Datos!AC15)),IF(D_I="SI",Datos!I15,Datos!I15+Datos!AC15)," - ")</f>
        <v>1608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3066</v>
      </c>
      <c r="Z15" s="619">
        <f>IF(ISNUMBER(Datos!Q15),Datos!Q15," - ")</f>
        <v>115</v>
      </c>
      <c r="AA15" s="332">
        <f>IF(ISNUMBER(IF(D_I="SI",Datos!L15,Datos!L15+Datos!AF15)),IF(D_I="SI",Datos!L15,Datos!L15+Datos!AF15)," - ")</f>
        <v>1621</v>
      </c>
      <c r="AB15" s="334"/>
      <c r="AC15" s="334"/>
      <c r="AD15" s="484"/>
      <c r="AE15" s="484">
        <f>IF(ISNUMBER(Datos!R15),Datos!R15," - ")</f>
        <v>231</v>
      </c>
      <c r="AF15" s="229" t="str">
        <f>IF(ISNUMBER(Datos!BV15),Datos!BV15," - ")</f>
        <v xml:space="preserve"> - </v>
      </c>
      <c r="AG15" s="225"/>
      <c r="AH15" s="298"/>
      <c r="AI15" s="227"/>
      <c r="AJ15" s="225">
        <f>IF(ISNUMBER(Datos!M15),Datos!M15," - ")</f>
        <v>337</v>
      </c>
      <c r="AK15" s="229">
        <f>IF(ISNUMBER(Datos!N15),Datos!N15," - ")</f>
        <v>2020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1.5861056751467713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252</v>
      </c>
      <c r="Z17" s="619">
        <f>IF(ISNUMBER(Datos!Q17),Datos!Q17," - ")</f>
        <v>3</v>
      </c>
      <c r="AA17" s="332">
        <f>IF(ISNUMBER(Datos!L17),Datos!L17,"-")</f>
        <v>293</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27</v>
      </c>
      <c r="AK17" s="229">
        <f>IF(ISNUMBER(Datos!N17),Datos!N17," - ")</f>
        <v>171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3.4880952380952386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1663</v>
      </c>
      <c r="G18" s="898">
        <f>SUBTOTAL(9,G15:G17)</f>
        <v>1898</v>
      </c>
      <c r="H18" s="932">
        <f>SUBTOTAL(9,H15:H17)</f>
        <v>0</v>
      </c>
      <c r="I18" s="911">
        <f>SUBTOTAL(9,I15:I17)</f>
        <v>0</v>
      </c>
      <c r="J18" s="867">
        <f>SUBTOTAL(9,J14:J17)</f>
        <v>0</v>
      </c>
      <c r="K18" s="932">
        <f t="shared" ref="K18:S18" si="4">SUBTOTAL(9,K15:K17)</f>
        <v>0</v>
      </c>
      <c r="L18" s="932">
        <f t="shared" si="4"/>
        <v>0</v>
      </c>
      <c r="M18" s="932">
        <f t="shared" si="4"/>
        <v>0</v>
      </c>
      <c r="N18" s="932">
        <f t="shared" si="4"/>
        <v>101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3318</v>
      </c>
      <c r="Z18" s="932">
        <f t="shared" si="5"/>
        <v>118</v>
      </c>
      <c r="AA18" s="932">
        <f t="shared" si="5"/>
        <v>1914</v>
      </c>
      <c r="AB18" s="932">
        <f t="shared" si="5"/>
        <v>0</v>
      </c>
      <c r="AC18" s="932">
        <f t="shared" si="5"/>
        <v>0</v>
      </c>
      <c r="AD18" s="932">
        <f t="shared" si="5"/>
        <v>0</v>
      </c>
      <c r="AE18" s="932">
        <f t="shared" si="5"/>
        <v>240</v>
      </c>
      <c r="AF18" s="932">
        <f t="shared" si="5"/>
        <v>0</v>
      </c>
      <c r="AG18" s="932">
        <f t="shared" si="5"/>
        <v>0</v>
      </c>
      <c r="AH18" s="932">
        <f t="shared" si="5"/>
        <v>0</v>
      </c>
      <c r="AI18" s="932">
        <f t="shared" si="5"/>
        <v>0</v>
      </c>
      <c r="AJ18" s="932">
        <f t="shared" si="5"/>
        <v>364</v>
      </c>
      <c r="AK18" s="932">
        <f t="shared" si="5"/>
        <v>2191</v>
      </c>
      <c r="AL18" s="932">
        <f t="shared" si="5"/>
        <v>0</v>
      </c>
      <c r="AM18" s="932">
        <f t="shared" si="5"/>
        <v>0</v>
      </c>
      <c r="AN18" s="932">
        <f t="shared" si="5"/>
        <v>0</v>
      </c>
      <c r="AO18" s="934">
        <f>IF(ISNUMBER(((NºAsuntos!I18/NºAsuntos!G18)*11)/factor_trimestre),((NºAsuntos!I18/NºAsuntos!G18)*11)/factor_trimestre," - ")</f>
        <v>1.7305605786618445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1776</v>
      </c>
      <c r="G19" s="820">
        <f t="shared" si="7"/>
        <v>2011</v>
      </c>
      <c r="H19" s="821">
        <f t="shared" si="7"/>
        <v>0</v>
      </c>
      <c r="I19" s="820">
        <f t="shared" si="7"/>
        <v>0</v>
      </c>
      <c r="J19" s="822">
        <f t="shared" si="7"/>
        <v>0</v>
      </c>
      <c r="K19" s="820">
        <f t="shared" si="7"/>
        <v>0</v>
      </c>
      <c r="L19" s="823">
        <f t="shared" si="7"/>
        <v>0</v>
      </c>
      <c r="M19" s="820">
        <f t="shared" si="7"/>
        <v>0</v>
      </c>
      <c r="N19" s="821">
        <f t="shared" si="7"/>
        <v>642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3336</v>
      </c>
      <c r="Z19" s="827">
        <f t="shared" si="8"/>
        <v>537</v>
      </c>
      <c r="AA19" s="828">
        <f t="shared" si="8"/>
        <v>2039</v>
      </c>
      <c r="AB19" s="828">
        <f t="shared" si="8"/>
        <v>0</v>
      </c>
      <c r="AC19" s="828">
        <f t="shared" si="8"/>
        <v>0</v>
      </c>
      <c r="AD19" s="829">
        <f t="shared" si="8"/>
        <v>0</v>
      </c>
      <c r="AE19" s="829">
        <f t="shared" si="8"/>
        <v>8603</v>
      </c>
      <c r="AF19" s="830">
        <f t="shared" si="8"/>
        <v>0</v>
      </c>
      <c r="AG19" s="831">
        <f t="shared" si="8"/>
        <v>0</v>
      </c>
      <c r="AH19" s="832">
        <f t="shared" si="8"/>
        <v>0</v>
      </c>
      <c r="AI19" s="830">
        <f t="shared" si="8"/>
        <v>0</v>
      </c>
      <c r="AJ19" s="820">
        <f t="shared" si="8"/>
        <v>911</v>
      </c>
      <c r="AK19" s="820">
        <f t="shared" si="8"/>
        <v>4237</v>
      </c>
      <c r="AL19" s="820">
        <f t="shared" si="8"/>
        <v>0</v>
      </c>
      <c r="AM19" s="833">
        <f t="shared" si="8"/>
        <v>0</v>
      </c>
      <c r="AN19" s="823">
        <f>IF(ISNUMBER(Datos!K19/Datos!J19),Datos!K19/Datos!J19," - ")</f>
        <v>0.79876348648321005</v>
      </c>
      <c r="AO19" s="823">
        <f>IF(ISNUMBER(FIND("06",Criterios!A8,1)),(IF(ISNUMBER(((Datos!R19/Datos!Q19)*11)/factor_trimestre),((Datos!R19/Datos!Q19)*11)/factor_trimestre," - ")),(IF(ISNUMBER(((Datos!L19/Datos!K19)*11)/factor_trimestre),((Datos!L19/Datos!K19)*11)/factor_trimestre," - ")))</f>
        <v>5.7154348156017605</v>
      </c>
      <c r="AP19" s="834" t="str">
        <f>IF(ISNUMBER(Datos!CI19/Datos!CJ19),Datos!CI19/Datos!CJ19," - ")</f>
        <v xml:space="preserve"> - </v>
      </c>
      <c r="AQ19" s="834">
        <f>IF(OR(ISNUMBER(FIND("01",Criterios!A8,1)),ISNUMBER(FIND("02",Criterios!A8,1)),ISNUMBER(FIND("03",Criterios!A8,1)),ISNUMBER(FIND("04",Criterios!A8,1))),(J19-Y19+K19)/(F19-K19),(I19-Y19+K19)/(F19-K19))</f>
        <v>-1.8783783783783783</v>
      </c>
      <c r="AR19" s="834">
        <f>IF(ISNUMBER((Datos!P19-Datos!Q19+O19)/(Datos!R19-Datos!P19+Datos!Q19-O19)),(Datos!P19-Datos!Q19+O19)/(Datos!R19-Datos!P19+Datos!Q19-O19)," - ")</f>
        <v>1.2355848434925865E-2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804.4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894.89291724392001</v>
      </c>
      <c r="G21" s="552">
        <f>IF(ISNUMBER(STDEV(G8:G18)),STDEV(G8:G18),"-")</f>
        <v>874.98702847527977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238.48326286485323</v>
      </c>
      <c r="AK21" s="252"/>
      <c r="AL21" s="252">
        <f>IF(ISNUMBER(STDEV(AL8:AL18)),STDEV(AL8:AL18),"-")</f>
        <v>0</v>
      </c>
      <c r="AM21" s="254">
        <f>IF(ISNUMBER(STDEV(AM8:AM18)),STDEV(AM8:AM18),"-")</f>
        <v>0</v>
      </c>
      <c r="AN21" s="539">
        <f>IF(ISNUMBER(STDEV(AN8:AN18)),STDEV(AN8:AN18),"-")</f>
        <v>0</v>
      </c>
      <c r="AO21" s="540">
        <f>IF(ISNUMBER(STDEV(AO8:AO18)),STDEV(AO8:AO18),"-")</f>
        <v>7.3583132874419093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WFAndirnUgzRPktTo1xGK1riV1DLkHR587uonGVOd+CM0VgtM+4ywZ3eDQny+HdCh+914Nrkf2vantIUG+8buA==" saltValue="OJhaicQdl/1kgsG+Kkdow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1Vwx/XszDysIcuGNNlEcXU5PVW2fTBCX6l6tsg9AT2SXrS+fFp4Buh7gn9z2oGEGDq2xI8RpcveAbbz43b5sg==" saltValue="EyVyRpfWS5Zp2tBR+Pkzj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Bx3zLrjAYTbd3/oI6prf1Oh3kRVa6XrTQzZp0fzUJMgm/j7Vk71eD5mJnayvym2ZpZADZ7sCz52frgHz5yF1Q==" saltValue="uE9x+fk7UP2zdeGV/b0HK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FUENGIROLA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0.16391968834282289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0.11590872319719553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OtDq0P93Lqc+9ZxkhlLqvWbtH6XgeACkhulm+VBzIgl+n9xxhYZwqnIwB2ke6IGrdu+oEndAl8rD1NvCxly5g==" saltValue="f1IZ78CczNMPG44rYiiAA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Hk5y7l41UfglyhxcLCl3OsTuFgrIPdVM+W+5q9peNcDYsSWLZ2zQ5AiVmzVzYv0+47MmmOwdYamdG9qshma69A==" saltValue="tded/MbINfi8AbfhRdtO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FUENGIROLA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8974</v>
      </c>
      <c r="D9" s="404">
        <f>IF(ISNUMBER(C9/Datos!BH9),C9/Datos!BH9," - ")</f>
        <v>1794.8</v>
      </c>
      <c r="E9" s="403">
        <f>IF(ISNUMBER(IF(J_V="SI",Datos!J9,Datos!J9+Datos!Z9)),IF(J_V="SI",Datos!J9,Datos!J9+Datos!Z9)," - ")</f>
        <v>5019</v>
      </c>
      <c r="F9" s="404">
        <f>IF(ISNUMBER(E9/B9),E9/B9," - ")</f>
        <v>1003.8</v>
      </c>
      <c r="G9" s="403">
        <f>IF(ISNUMBER(IF(J_V="SI",Datos!K9,Datos!K9+Datos!AA9)),IF(J_V="SI",Datos!K9,Datos!K9+Datos!AA9)," - ")</f>
        <v>3319</v>
      </c>
      <c r="H9" s="404">
        <f>IF(ISNUMBER(G9/B9),G9/B9," - ")</f>
        <v>663.8</v>
      </c>
      <c r="I9" s="403">
        <f>IF(ISNUMBER(IF(J_V="SI",Datos!L9,Datos!L9+Datos!AB9)),IF(J_V="SI",Datos!L9,Datos!L9+Datos!AB9)," - ")</f>
        <v>10638</v>
      </c>
      <c r="J9" s="404">
        <f>IF(ISNUMBER(I9/B9),I9/B9," - ")</f>
        <v>2127.6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113</v>
      </c>
      <c r="D10" s="404">
        <f>IF(ISNUMBER(C10/Datos!BH10),C10/Datos!BH10," - ")</f>
        <v>113</v>
      </c>
      <c r="E10" s="403">
        <f>IF(ISNUMBER(Datos!J10),Datos!J10," - ")</f>
        <v>30</v>
      </c>
      <c r="F10" s="404">
        <f>IF(ISNUMBER(E10/B10),E10/B10," - ")</f>
        <v>30</v>
      </c>
      <c r="G10" s="403">
        <f>IF(ISNUMBER(Datos!K10),Datos!K10," - ")</f>
        <v>18</v>
      </c>
      <c r="H10" s="404">
        <f>IF(ISNUMBER(G10/B10),G10/B10," - ")</f>
        <v>18</v>
      </c>
      <c r="I10" s="403">
        <f>IF(ISNUMBER(Datos!L10),Datos!L10," - ")</f>
        <v>125</v>
      </c>
      <c r="J10" s="404">
        <f>IF(ISNUMBER(I10/B10),I10/B10," - ")</f>
        <v>125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9087</v>
      </c>
      <c r="D13" s="850" t="str">
        <f>IF(ISNUMBER(C13/Datos!BI13),C13/Datos!BI13," - ")</f>
        <v xml:space="preserve"> - </v>
      </c>
      <c r="E13" s="849">
        <f>SUBTOTAL(9,E8:E12)</f>
        <v>5049</v>
      </c>
      <c r="F13" s="850">
        <f>IF(ISNUMBER(E13/B13),E13/B13," - ")</f>
        <v>841.5</v>
      </c>
      <c r="G13" s="849">
        <f>SUBTOTAL(9,G8:G12)</f>
        <v>3337</v>
      </c>
      <c r="H13" s="850">
        <f>IF(ISNUMBER(G13/B13),G13/B13," - ")</f>
        <v>556.16666666666663</v>
      </c>
      <c r="I13" s="849">
        <f>SUBTOTAL(9,I8:I12)</f>
        <v>10763</v>
      </c>
      <c r="J13" s="850">
        <f>IF(ISNUMBER(I13/B13),I13/B13," - ")</f>
        <v>1793.8333333333333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1608</v>
      </c>
      <c r="D15" s="404">
        <f>IF(ISNUMBER(C15/Datos!BH15),C15/Datos!BH15," - ")</f>
        <v>402</v>
      </c>
      <c r="E15" s="403">
        <f>IF(ISNUMBER(IF(D_I="SI",Datos!J15,Datos!J15+Datos!AD15)),IF(D_I="SI",Datos!J15,Datos!J15+Datos!AD15)," - ")</f>
        <v>3024</v>
      </c>
      <c r="F15" s="404">
        <f>IF(ISNUMBER(E15/B15),E15/B15," - ")</f>
        <v>756</v>
      </c>
      <c r="G15" s="403">
        <f>IF(ISNUMBER(IF(D_I="SI",Datos!K15,Datos!K15+Datos!AE15)),IF(D_I="SI",Datos!K15,Datos!K15+Datos!AE15)," - ")</f>
        <v>3066</v>
      </c>
      <c r="H15" s="404">
        <f>IF(ISNUMBER(G15/B15),G15/B15," - ")</f>
        <v>766.5</v>
      </c>
      <c r="I15" s="403">
        <f>IF(ISNUMBER(IF(D_I="SI",Datos!L15,Datos!L15+Datos!AF15)),IF(D_I="SI",Datos!L15,Datos!L15+Datos!AF15)," - ")</f>
        <v>1621</v>
      </c>
      <c r="J15" s="404">
        <f>IF(ISNUMBER(I15/B15),I15/B15," - ")</f>
        <v>405.25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290</v>
      </c>
      <c r="D17" s="404">
        <f>IF(ISNUMBER(C17/Datos!BH17),C17/Datos!BH17," - ")</f>
        <v>290</v>
      </c>
      <c r="E17" s="403">
        <f>IF(ISNUMBER(IF(D_I="SI",Datos!J17,Datos!J17+Datos!AD17)),IF(D_I="SI",Datos!J17,Datos!J17+Datos!AD17)," - ")</f>
        <v>255</v>
      </c>
      <c r="F17" s="404">
        <f>IF(ISNUMBER(E17/B17),E17/B17," - ")</f>
        <v>255</v>
      </c>
      <c r="G17" s="403">
        <f>IF(ISNUMBER(IF(D_I="SI",Datos!K17,Datos!K17+Datos!AE17)),IF(D_I="SI",Datos!K17,Datos!K17+Datos!AE17)," - ")</f>
        <v>252</v>
      </c>
      <c r="H17" s="404">
        <f>IF(ISNUMBER(G17/B17),G17/B17," - ")</f>
        <v>252</v>
      </c>
      <c r="I17" s="403">
        <f>IF(ISNUMBER(IF(D_I="SI",Datos!L17,Datos!L17+Datos!AF17)),IF(D_I="SI",Datos!L17,Datos!L17+Datos!AF17)," - ")</f>
        <v>293</v>
      </c>
      <c r="J17" s="404">
        <f>IF(ISNUMBER(I17/B17),I17/B17," - ")</f>
        <v>293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1898</v>
      </c>
      <c r="D18" s="850" t="str">
        <f>IF(ISNUMBER(C18/Datos!BI18),C18/Datos!BI18," - ")</f>
        <v xml:space="preserve"> - </v>
      </c>
      <c r="E18" s="849">
        <f>SUBTOTAL(9,E14:E17)</f>
        <v>3279</v>
      </c>
      <c r="F18" s="850">
        <f>IF(ISNUMBER(E18/B18),E18/B18," - ")</f>
        <v>655.8</v>
      </c>
      <c r="G18" s="849">
        <f>SUBTOTAL(9,G14:G17)</f>
        <v>3318</v>
      </c>
      <c r="H18" s="850">
        <f>IF(ISNUMBER(G18/B18),G18/B18," - ")</f>
        <v>663.6</v>
      </c>
      <c r="I18" s="849">
        <f>SUBTOTAL(9,I14:I17)</f>
        <v>1914</v>
      </c>
      <c r="J18" s="850">
        <f>IF(ISNUMBER(I18/B18),I18/B18," - ")</f>
        <v>382.8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10985</v>
      </c>
      <c r="D19" s="795" t="str">
        <f>IF(ISNUMBER(C19/Datos!BI19),C19/Datos!BI19," - ")</f>
        <v xml:space="preserve"> - </v>
      </c>
      <c r="E19" s="794">
        <f>SUBTOTAL(9,E9:E18)</f>
        <v>8328</v>
      </c>
      <c r="F19" s="795">
        <f>IF(ISNUMBER(E19/B19),E19/B19," - ")</f>
        <v>832.8</v>
      </c>
      <c r="G19" s="794">
        <f>SUBTOTAL(9,G9:G18)</f>
        <v>6655</v>
      </c>
      <c r="H19" s="795">
        <f>IF(ISNUMBER(G19/B19),G19/B19," - ")</f>
        <v>665.5</v>
      </c>
      <c r="I19" s="794">
        <f>SUBTOTAL(9,I9:I18)</f>
        <v>12677</v>
      </c>
      <c r="J19" s="795">
        <f>IF(ISNUMBER(I19/B19),I19/B19," - ")</f>
        <v>1267.7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O+3G10TcKChbm/sAJAf/OBlOpyhBV/ku7gRQgzRvuFCJ7EzqiwDu1GGBtQXuXYNVl9WUP60gP3r8KaelOjNgw==" saltValue="+nOYYhaGLioYPP4smmMr6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FUENGIROLA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113</v>
      </c>
      <c r="G10" s="684">
        <f>IF(ISNUMBER(Datos!I10),Datos!I10," - ")</f>
        <v>113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125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20.833333333333332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113</v>
      </c>
      <c r="G13" s="938">
        <f t="shared" si="0"/>
        <v>113</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0</v>
      </c>
      <c r="AE13" s="939">
        <f t="shared" si="1"/>
        <v>0</v>
      </c>
      <c r="AF13" s="939">
        <f t="shared" si="1"/>
        <v>125</v>
      </c>
      <c r="AG13" s="939">
        <f t="shared" si="1"/>
        <v>0</v>
      </c>
      <c r="AH13" s="939">
        <f t="shared" si="1"/>
        <v>0</v>
      </c>
      <c r="AI13" s="939">
        <f t="shared" si="1"/>
        <v>0</v>
      </c>
      <c r="AJ13" s="939">
        <f t="shared" si="1"/>
        <v>0</v>
      </c>
      <c r="AK13" s="939">
        <f t="shared" si="1"/>
        <v>0</v>
      </c>
      <c r="AL13" s="939">
        <f t="shared" si="1"/>
        <v>7</v>
      </c>
      <c r="AM13" s="939">
        <f t="shared" si="1"/>
        <v>7</v>
      </c>
      <c r="AN13" s="939">
        <f t="shared" si="1"/>
        <v>0</v>
      </c>
      <c r="AO13" s="939">
        <f t="shared" si="1"/>
        <v>0</v>
      </c>
      <c r="AP13" s="944">
        <f>IF(ISNUMBER(((Datos!L13/Datos!K13)*11)/factor_trimestre),((Datos!L13/Datos!K13)*11)/factor_trimestre," - ")</f>
        <v>9.7575664934270883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-0.15929203539823009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1.7305605786618445</v>
      </c>
      <c r="AQ18" s="944">
        <f>IF(ISNUMBER(((Datos!M18/Datos!L18)*11)/factor_trimestre),((Datos!M18/Datos!L18)*11)/factor_trimestre," - ")</f>
        <v>0.57053291536050155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-6.6147859922178989E-2</v>
      </c>
      <c r="AW18" s="946">
        <f>IF(ISNUMBER((Datos!Q18-Datos!R18)/(Datos!S18-Datos!Q18+Datos!R18)),(Datos!Q18-Datos!R18)/(Datos!S18-Datos!Q18+Datos!R18)," - ")</f>
        <v>-6.0396039603960394E-2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113</v>
      </c>
      <c r="G19" s="951">
        <f t="shared" si="4"/>
        <v>113</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0</v>
      </c>
      <c r="AE19" s="957">
        <f t="shared" si="5"/>
        <v>0</v>
      </c>
      <c r="AF19" s="958">
        <f t="shared" si="5"/>
        <v>125</v>
      </c>
      <c r="AG19" s="958">
        <f t="shared" si="5"/>
        <v>0</v>
      </c>
      <c r="AH19" s="958">
        <f t="shared" si="5"/>
        <v>0</v>
      </c>
      <c r="AI19" s="958">
        <f t="shared" si="5"/>
        <v>0</v>
      </c>
      <c r="AJ19" s="959">
        <f t="shared" si="5"/>
        <v>0</v>
      </c>
      <c r="AK19" s="959">
        <f t="shared" si="5"/>
        <v>0</v>
      </c>
      <c r="AL19" s="951">
        <f t="shared" si="5"/>
        <v>7</v>
      </c>
      <c r="AM19" s="951">
        <f t="shared" si="5"/>
        <v>7</v>
      </c>
      <c r="AN19" s="951">
        <f t="shared" si="5"/>
        <v>0</v>
      </c>
      <c r="AO19" s="951">
        <f t="shared" si="5"/>
        <v>0</v>
      </c>
      <c r="AP19" s="951">
        <f>IF(ISNUMBER(((Datos!L19/Datos!K19)*11)/factor_trimestre),((Datos!L19/Datos!K19)*11)/factor_trimestre," - ")</f>
        <v>5.7154348156017605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-0.15929203539823009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1.2355848434925865E-2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65.240580418427712</v>
      </c>
      <c r="G21" s="737">
        <f>IF(ISNUMBER(STDEV(G8:G18)),STDEV(G8:G18),"-")</f>
        <v>65.240580418427712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4.0414518843273806</v>
      </c>
      <c r="AM21" s="736"/>
      <c r="AN21" s="736">
        <f>IF(ISNUMBER(STDEV(AN8:AN18)),STDEV(AN8:AN18),"-")</f>
        <v>0</v>
      </c>
      <c r="AO21" s="742">
        <f>IF(ISNUMBER(STDEV(AO8:AO18)),STDEV(AO8:AO18),"-")</f>
        <v>0</v>
      </c>
      <c r="AP21" s="779">
        <f>IF(ISNUMBER(STDEV(AP8:AP18)),STDEV(AP8:AP18),"-")</f>
        <v>9.5918486397241001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L3EyVdAyKHu/bsI5Awbzqf6yohtCwj4mKiwc7VbPGrC0JP76MsVTiAM9g7HIi+hcq382wprlTjJ4ukUGrKlwaw==" saltValue="mU676LLBcsCaaQEmnnSav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FUENGIROLA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6FUFnYTJ/H0cp3wY/CY/Ydaelkbjw6CcMp59tLSRyOs8sZ5+Wm+A8QRs2PerRr1ET5kOMAbgSKlUf9XK1oQzfQ==" saltValue="jL0FCdTePEZUSC06u8+c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FUENGIROLA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540</v>
      </c>
      <c r="E9" s="404">
        <f t="shared" ref="E9:E13" si="0">IF(ISNUMBER(D9/B9),D9/B9," - ")</f>
        <v>108</v>
      </c>
      <c r="F9" s="403">
        <f>IF(ISNUMBER(Datos!N9),Datos!N9," - ")</f>
        <v>2039</v>
      </c>
      <c r="G9" s="404">
        <f t="shared" ref="G9:G13" si="1">IF(ISNUMBER(F9/B9),F9/B9," - ")</f>
        <v>407.8</v>
      </c>
      <c r="H9" s="403">
        <f>IF(ISNUMBER(Datos!O9),Datos!O9," - ")</f>
        <v>1062</v>
      </c>
      <c r="I9" s="404">
        <f>IF(ISNUMBER(H9/B9),H9/B9," - ")</f>
        <v>212.4</v>
      </c>
      <c r="BZ9" s="1186">
        <f>Datos!EZ9</f>
        <v>0</v>
      </c>
    </row>
    <row r="10" spans="1:78">
      <c r="A10" s="402" t="str">
        <f>Datos!A10</f>
        <v>Jdos. Violencia contra la mujer</v>
      </c>
      <c r="B10" s="427">
        <f>Datos!AO10</f>
        <v>1</v>
      </c>
      <c r="C10" s="410">
        <f>Datos!AQ10</f>
        <v>1</v>
      </c>
      <c r="D10" s="403">
        <f>IF(ISNUMBER(Datos!M10),Datos!M10," - ")</f>
        <v>7</v>
      </c>
      <c r="E10" s="404">
        <f>IF(ISNUMBER(D10/B10),D10/B10," - ")</f>
        <v>7</v>
      </c>
      <c r="F10" s="403">
        <f>IF(ISNUMBER(Datos!N10),Datos!N10," - ")</f>
        <v>7</v>
      </c>
      <c r="G10" s="404">
        <f>IF(ISNUMBER(F10/B10),F10/B10," - ")</f>
        <v>7</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547</v>
      </c>
      <c r="E13" s="850">
        <f t="shared" si="0"/>
        <v>91.166666666666671</v>
      </c>
      <c r="F13" s="849">
        <f>SUBTOTAL(9,F9:F12)</f>
        <v>2046</v>
      </c>
      <c r="G13" s="850">
        <f t="shared" si="1"/>
        <v>341</v>
      </c>
      <c r="H13" s="849">
        <f>SUBTOTAL(9,H9:H12)</f>
        <v>1068</v>
      </c>
      <c r="I13" s="850">
        <f>IF(ISNUMBER(H13/B13),H13/B13," - ")</f>
        <v>178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337</v>
      </c>
      <c r="E15" s="404">
        <f t="shared" ref="E15:E18" si="3">IF(ISNUMBER(D15/B15),D15/B15," - ")</f>
        <v>84.25</v>
      </c>
      <c r="F15" s="403">
        <f>IF(ISNUMBER(Datos!N15),Datos!N15," - ")</f>
        <v>2020</v>
      </c>
      <c r="G15" s="404">
        <f t="shared" ref="G15:G18" si="4">IF(ISNUMBER(F15/B15),F15/B15," - ")</f>
        <v>505</v>
      </c>
      <c r="H15" s="403">
        <f>IF(ISNUMBER(Datos!O15),Datos!O15," - ")</f>
        <v>114</v>
      </c>
      <c r="I15" s="404">
        <f t="shared" ref="I15:I17" si="5">IF(ISNUMBER(H15/B15),H15/B15," - ")</f>
        <v>28.5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27</v>
      </c>
      <c r="E17" s="404">
        <f>IF(ISNUMBER(D17/B17),D17/B17," - ")</f>
        <v>27</v>
      </c>
      <c r="F17" s="403">
        <f>IF(ISNUMBER(Datos!N17),Datos!N17," - ")</f>
        <v>171</v>
      </c>
      <c r="G17" s="404">
        <f>IF(ISNUMBER(F17/B17),F17/B17," - ")</f>
        <v>171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364</v>
      </c>
      <c r="E18" s="850">
        <f t="shared" si="3"/>
        <v>72.8</v>
      </c>
      <c r="F18" s="849">
        <f>SUBTOTAL(9,F15:F17)</f>
        <v>2191</v>
      </c>
      <c r="G18" s="850">
        <f t="shared" si="4"/>
        <v>438.2</v>
      </c>
      <c r="H18" s="849">
        <f>SUBTOTAL(9,H15:H17)</f>
        <v>114</v>
      </c>
      <c r="I18" s="850">
        <f>IF(ISNUMBER(H18/B18),H18/B18," - ")</f>
        <v>22.8</v>
      </c>
      <c r="BZ18" s="1186"/>
    </row>
    <row r="19" spans="1:78" ht="14.25" thickTop="1" thickBot="1">
      <c r="A19" s="793" t="str">
        <f>Datos!A19</f>
        <v>TOTAL JURISDICCIONES</v>
      </c>
      <c r="B19" s="794">
        <f>Datos!AP19</f>
        <v>10</v>
      </c>
      <c r="C19" s="794">
        <f>Datos!AR19</f>
        <v>10</v>
      </c>
      <c r="D19" s="794">
        <f>SUBTOTAL(9,D8:D18)</f>
        <v>911</v>
      </c>
      <c r="E19" s="795">
        <f>IF(ISNUMBER(D19/B19),D19/B19," - ")</f>
        <v>91.1</v>
      </c>
      <c r="F19" s="794">
        <f>SUBTOTAL(9,F8:F18)</f>
        <v>4237</v>
      </c>
      <c r="G19" s="795">
        <f>IF(ISNUMBER(F19/B19),F19/B19," - ")</f>
        <v>423.7</v>
      </c>
      <c r="H19" s="794">
        <f>SUBTOTAL(9,H8:H18)</f>
        <v>1182</v>
      </c>
      <c r="I19" s="795">
        <f>IF(ISNUMBER(H19/B19),H19/B19," - ")</f>
        <v>118.2</v>
      </c>
    </row>
    <row r="22" spans="1:78">
      <c r="A22" s="391" t="str">
        <f>Criterios!A4</f>
        <v>Fecha Informe: 03 jun. 2025</v>
      </c>
    </row>
    <row r="27" spans="1:78">
      <c r="A27" s="414"/>
    </row>
  </sheetData>
  <sheetProtection algorithmName="SHA-512" hashValue="18DQdoY2/2aYzihpqvRILDmUk34tT6WXcfYLqoJxK9UB70G746SpORwFyBK0IWSQjwrFEjOY2fSKzH7/sSnLfA==" saltValue="x7ru+OD8H7WHNcBJXWhX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FUENGIROLA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530</v>
      </c>
      <c r="C9" s="434">
        <f>IF(ISNUMBER(Datos!Q9),Datos!Q9," - ")</f>
        <v>416</v>
      </c>
      <c r="D9" s="408">
        <f>IF(ISNUMBER(Datos!R9),Datos!R9," - ")</f>
        <v>8245</v>
      </c>
    </row>
    <row r="10" spans="1:4">
      <c r="A10" s="402" t="str">
        <f>Datos!A10</f>
        <v>Jdos. Violencia contra la mujer</v>
      </c>
      <c r="B10" s="433">
        <f>IF(ISNUMBER(Datos!P10),Datos!P10," - ")</f>
        <v>11</v>
      </c>
      <c r="C10" s="434">
        <f>IF(ISNUMBER(Datos!Q10),Datos!Q10," - ")</f>
        <v>3</v>
      </c>
      <c r="D10" s="408">
        <f>IF(ISNUMBER(Datos!R10),Datos!R10," - ")</f>
        <v>118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541</v>
      </c>
      <c r="C13" s="853">
        <f>SUBTOTAL(9,C9:C12)</f>
        <v>419</v>
      </c>
      <c r="D13" s="851">
        <f>SUBTOTAL(9,D9:D12)</f>
        <v>8363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93</v>
      </c>
      <c r="C15" s="434">
        <f>IF(ISNUMBER(Datos!Q15),Datos!Q15," - ")</f>
        <v>115</v>
      </c>
      <c r="D15" s="408">
        <f>IF(ISNUMBER(Datos!R15),Datos!R15," - ")</f>
        <v>231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v>
      </c>
      <c r="C17" s="434">
        <f>IF(ISNUMBER(Datos!Q17),Datos!Q17," - ")</f>
        <v>3</v>
      </c>
      <c r="D17" s="408">
        <f>IF(ISNUMBER(Datos!R17),Datos!R17," - ")</f>
        <v>9</v>
      </c>
    </row>
    <row r="18" spans="1:4" ht="14.25" thickTop="1" thickBot="1">
      <c r="A18" s="848" t="str">
        <f>Datos!A18</f>
        <v>TOTAL</v>
      </c>
      <c r="B18" s="849">
        <f>SUBTOTAL(9,B15:B17)</f>
        <v>101</v>
      </c>
      <c r="C18" s="853">
        <f>SUBTOTAL(9,C15:C17)</f>
        <v>118</v>
      </c>
      <c r="D18" s="851">
        <f>SUBTOTAL(9,D15:D17)</f>
        <v>240</v>
      </c>
    </row>
    <row r="19" spans="1:4" ht="16.5" customHeight="1" thickTop="1" thickBot="1">
      <c r="A19" s="793" t="str">
        <f>Datos!A19</f>
        <v>TOTAL JURISDICCIONES</v>
      </c>
      <c r="B19" s="798">
        <f>SUBTOTAL(9,B8:B18)</f>
        <v>642</v>
      </c>
      <c r="C19" s="799">
        <f>SUBTOTAL(9,C8:C18)</f>
        <v>537</v>
      </c>
      <c r="D19" s="800">
        <f>SUBTOTAL(9,D8:D18)</f>
        <v>8603</v>
      </c>
    </row>
    <row r="20" spans="1:4" ht="7.5" customHeight="1"/>
    <row r="21" spans="1:4" ht="6" customHeight="1"/>
    <row r="22" spans="1:4">
      <c r="A22" s="391" t="str">
        <f>Criterios!A4</f>
        <v>Fecha Informe: 03 jun. 2025</v>
      </c>
    </row>
    <row r="27" spans="1:4">
      <c r="A27" s="414"/>
    </row>
  </sheetData>
  <sheetProtection algorithmName="SHA-512" hashValue="AA+1uTThNVHH45o5MNC2q0UCjPNNESiOG+0zdKkUvHuA6PnrDwzy4dnngb6Vk+kSrpDlUCY/oEJloxkRmDPq/w==" saltValue="682hQcS7RMqI6g3EqTEA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FUENGIROLA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0.21106612685560053</v>
      </c>
      <c r="C9" s="456">
        <f>IF(ISNUMBER(
   IF(J_V="SI",(Datos!J9-Datos!T9)/Datos!T9,(Datos!J9+Datos!Z9-(Datos!T9+Datos!AH9))/(Datos!T9+Datos!AH9))
     ),IF(J_V="SI",(Datos!J9-Datos!T9)/Datos!T9,(Datos!J9+Datos!Z9-(Datos!T9+Datos!AH9))/(Datos!T9+Datos!AH9))," - ")</f>
        <v>0.91784486052732139</v>
      </c>
      <c r="D9" s="456">
        <f>IF(ISNUMBER(
   IF(J_V="SI",(Datos!K9-Datos!U9)/Datos!U9,(Datos!K9+Datos!AA9-(Datos!U9+Datos!AI9))/(Datos!U9+Datos!AI9))
     ),IF(J_V="SI",(Datos!K9-Datos!U9)/Datos!U9,(Datos!K9+Datos!AA9-(Datos!U9+Datos!AI9))/(Datos!U9+Datos!AI9))," - ")</f>
        <v>0.31915739268680443</v>
      </c>
      <c r="E9" s="456">
        <f>IF(ISNUMBER(
   IF(J_V="SI",(Datos!L9-Datos!V9)/Datos!V9,(Datos!L9+Datos!AB9-(Datos!V9+Datos!AJ9))/(Datos!V9+Datos!AJ9))
     ),IF(J_V="SI",(Datos!L9-Datos!V9)/Datos!V9,(Datos!L9+Datos!AB9-(Datos!V9+Datos!AJ9))/(Datos!V9+Datos!AJ9))," - ")</f>
        <v>0.41688865210442194</v>
      </c>
      <c r="F9" s="456">
        <f>IF(ISNUMBER((Datos!M9-Datos!W9)/Datos!W9),(Datos!M9-Datos!W9)/Datos!W9," - ")</f>
        <v>0.13445378151260504</v>
      </c>
      <c r="G9" s="457">
        <f>IF(ISNUMBER((Datos!N9-Datos!X9)/Datos!X9),(Datos!N9-Datos!X9)/Datos!X9," - ")</f>
        <v>0.8012367491166078</v>
      </c>
      <c r="H9" s="455">
        <f>IF(ISNUMBER(((NºAsuntos!G9/NºAsuntos!E9)-Datos!BD9)/Datos!BD9),((NºAsuntos!G9/NºAsuntos!E9)-Datos!BD9)/Datos!BD9," - ")</f>
        <v>-0.3121667868775917</v>
      </c>
      <c r="I9" s="456">
        <f>IF(ISNUMBER(((NºAsuntos!I9/NºAsuntos!G9)-Datos!BE9)/Datos!BE9),((NºAsuntos!I9/NºAsuntos!G9)-Datos!BE9)/Datos!BE9," - ")</f>
        <v>7.4086124945684048E-2</v>
      </c>
      <c r="J9" s="461">
        <f>IF(ISNUMBER((('Resol  Asuntos'!D9/NºAsuntos!G9)-Datos!BF9)/Datos!BF9),(('Resol  Asuntos'!D9/NºAsuntos!G9)-Datos!BF9)/Datos!BF9," - ")</f>
        <v>-0.63838143593423458</v>
      </c>
      <c r="K9" s="462">
        <f>IF(ISNUMBER((((NºAsuntos!C9+NºAsuntos!E9)/NºAsuntos!G9)-Datos!BG9)/Datos!BG9),(((NºAsuntos!C9+NºAsuntos!E9)/NºAsuntos!G9)-Datos!BG9)/Datos!BG9," - ")</f>
        <v>5.7896556669694489E-2</v>
      </c>
    </row>
    <row r="10" spans="1:11">
      <c r="A10" s="402" t="str">
        <f>Datos!A10</f>
        <v>Jdos. Violencia contra la mujer</v>
      </c>
      <c r="B10" s="455">
        <f>IF(ISNUMBER((Datos!I10-Datos!S10)/Datos!S10),(Datos!I10-Datos!S10)/Datos!S10," - ")</f>
        <v>0.11881188118811881</v>
      </c>
      <c r="C10" s="456">
        <f>IF(ISNUMBER((Datos!J10-Datos!T10)/Datos!T10),(Datos!J10-Datos!T10)/Datos!T10," - ")</f>
        <v>-0.23076923076923078</v>
      </c>
      <c r="D10" s="456">
        <f>IF(ISNUMBER((Datos!K10-Datos!U10)/Datos!U10),(Datos!K10-Datos!U10)/Datos!U10," - ")</f>
        <v>-0.47058823529411764</v>
      </c>
      <c r="E10" s="456">
        <f>IF(ISNUMBER((Datos!L10-Datos!V10)/Datos!V10),(Datos!L10-Datos!V10)/Datos!V10," - ")</f>
        <v>0.17924528301886791</v>
      </c>
      <c r="F10" s="456">
        <f>IF(ISNUMBER((Datos!M10-Datos!W10)/Datos!W10),(Datos!M10-Datos!W10)/Datos!W10," - ")</f>
        <v>-0.5625</v>
      </c>
      <c r="G10" s="457">
        <f>IF(ISNUMBER((Datos!N10-Datos!X10)/Datos!X10),(Datos!N10-Datos!X10)/Datos!X10," - ")</f>
        <v>-0.36363636363636365</v>
      </c>
      <c r="H10" s="455">
        <f>IF(ISNUMBER(((NºAsuntos!G10/NºAsuntos!E10)-Datos!BD10)/Datos!BD10),((NºAsuntos!G10/NºAsuntos!E10)-Datos!BD10)/Datos!BD10," - ")</f>
        <v>-0.311764705882353</v>
      </c>
      <c r="I10" s="456">
        <f>IF(ISNUMBER(((NºAsuntos!I10/NºAsuntos!G10)-Datos!BE10)/Datos!BE10),((NºAsuntos!I10/NºAsuntos!G10)-Datos!BE10)/Datos!BE10," - ")</f>
        <v>1.2274633123689729</v>
      </c>
      <c r="J10" s="461">
        <f>IF(ISNUMBER((('Resol  Asuntos'!D10/NºAsuntos!G10)-Datos!BF10)/Datos!BF10),(('Resol  Asuntos'!D10/NºAsuntos!G10)-Datos!BF10)/Datos!BF10," - ")</f>
        <v>-0.17361111111111108</v>
      </c>
      <c r="K10" s="462">
        <f>IF(ISNUMBER((((NºAsuntos!C10+NºAsuntos!E10)/NºAsuntos!G10)-Datos!BG10)/Datos!BG10),(((NºAsuntos!C10+NºAsuntos!E10)/NºAsuntos!G10)-Datos!BG10)/Datos!BG10," - ")</f>
        <v>0.92936507936507962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0.20982558913593397</v>
      </c>
      <c r="C13" s="855">
        <f>IF(ISNUMBER(
   IF(J_V="SI",(Datos!J13-Datos!T13)/Datos!T13,(Datos!J13+Datos!Z13-(Datos!T13+Datos!AH13))/(Datos!T13+Datos!AH13))
     ),IF(J_V="SI",(Datos!J13-Datos!T13)/Datos!T13,(Datos!J13+Datos!Z13-(Datos!T13+Datos!AH13))/(Datos!T13+Datos!AH13))," - ")</f>
        <v>0.90097891566265065</v>
      </c>
      <c r="D13" s="855">
        <f>IF(ISNUMBER(
   IF(J_V="SI",(Datos!K13-Datos!U13)/Datos!U13,(Datos!K13+Datos!AA13-(Datos!U13+Datos!AI13))/(Datos!U13+Datos!AI13))
     ),IF(J_V="SI",(Datos!K13-Datos!U13)/Datos!U13,(Datos!K13+Datos!AA13-(Datos!U13+Datos!AI13))/(Datos!U13+Datos!AI13))," - ")</f>
        <v>0.30862745098039218</v>
      </c>
      <c r="E13" s="855">
        <f>IF(ISNUMBER(
   IF(J_V="SI",(Datos!L13-Datos!V13)/Datos!V13,(Datos!L13+Datos!AB13-(Datos!V13+Datos!AJ13))/(Datos!V13+Datos!AJ13))
     ),IF(J_V="SI",(Datos!L13-Datos!V13)/Datos!V13,(Datos!L13+Datos!AB13-(Datos!V13+Datos!AJ13))/(Datos!V13+Datos!AJ13))," - ")</f>
        <v>0.41358024691358025</v>
      </c>
      <c r="F13" s="856">
        <f>IF(ISNUMBER((Datos!M13-Datos!W13)/Datos!W13),(Datos!M13-Datos!W13)/Datos!W13," - ")</f>
        <v>0.11178861788617886</v>
      </c>
      <c r="G13" s="857">
        <f>IF(ISNUMBER((Datos!N13-Datos!X13)/Datos!X13),(Datos!N13-Datos!X13)/Datos!X13," - ")</f>
        <v>0.79002624671916011</v>
      </c>
      <c r="H13" s="857">
        <f>IF(ISNUMBER(((NºAsuntos!G13/NºAsuntos!E13)-Datos!BD13)/Datos!BD13),((NºAsuntos!G13/NºAsuntos!E13)-Datos!BD13)/Datos!BD13," - ")</f>
        <v>-0.31160338486751404</v>
      </c>
      <c r="I13" s="857">
        <f>IF(ISNUMBER(((NºAsuntos!I13/NºAsuntos!G13)-Datos!BE13)/Datos!BE13),((NºAsuntos!I13/NºAsuntos!G13)-Datos!BE13)/Datos!BE13," - ")</f>
        <v>8.0200668153919644E-2</v>
      </c>
      <c r="J13" s="857">
        <f>IF(ISNUMBER((('Resol  Asuntos'!D13/NºAsuntos!G13)-Datos!BF13)/Datos!BF13),(('Resol  Asuntos'!D13/NºAsuntos!G13)-Datos!BF13)/Datos!BF13," - ")</f>
        <v>-0.63589267833257979</v>
      </c>
      <c r="K13" s="857">
        <f>IF(ISNUMBER((((NºAsuntos!C13+NºAsuntos!E13)/NºAsuntos!G13)-Datos!BG13)/Datos!BG13),(((NºAsuntos!C13+NºAsuntos!E13)/NºAsuntos!G13)-Datos!BG13)/Datos!BG13," - ")</f>
        <v>6.2472472372453014E-2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-3.5971223021582732E-2</v>
      </c>
      <c r="C15" s="456">
        <f>IF(ISNUMBER(
   IF(D_I="SI",(Datos!J15-Datos!T15)/Datos!T15,(Datos!J15+Datos!AD15-(Datos!T15+Datos!AL15))/(Datos!T15+Datos!AL15))
     ),IF(D_I="SI",(Datos!J15-Datos!T15)/Datos!T15,(Datos!J15+Datos!AD15-(Datos!T15+Datos!AL15))/(Datos!T15+Datos!AL15))," - ")</f>
        <v>4.203997243280496E-2</v>
      </c>
      <c r="D15" s="456">
        <f>IF(ISNUMBER(
   IF(D_I="SI",(Datos!K15-Datos!U15)/Datos!U15,(Datos!K15+Datos!AE15-(Datos!U15+Datos!AM15))/(Datos!U15+Datos!AM15))
     ),IF(D_I="SI",(Datos!K15-Datos!U15)/Datos!U15,(Datos!K15+Datos!AE15-(Datos!U15+Datos!AM15))/(Datos!U15+Datos!AM15))," - ")</f>
        <v>4.2857142857142858E-2</v>
      </c>
      <c r="E15" s="456">
        <f>IF(ISNUMBER(
   IF(D_I="SI",(Datos!L15-Datos!V15)/Datos!V15,(Datos!L15+Datos!AF15-(Datos!V15+Datos!AN15))/(Datos!V15+Datos!AN15))
     ),IF(D_I="SI",(Datos!L15-Datos!V15)/Datos!V15,(Datos!L15+Datos!AF15-(Datos!V15+Datos!AN15))/(Datos!V15+Datos!AN15))," - ")</f>
        <v>-2.7594481103779243E-2</v>
      </c>
      <c r="F15" s="456">
        <f>IF(ISNUMBER((Datos!M15-Datos!W15)/Datos!W15),(Datos!M15-Datos!W15)/Datos!W15," - ")</f>
        <v>0.13468013468013468</v>
      </c>
      <c r="G15" s="457">
        <f>IF(ISNUMBER((Datos!N15-Datos!X15)/Datos!X15),(Datos!N15-Datos!X15)/Datos!X15," - ")</f>
        <v>9.3073593073593072E-2</v>
      </c>
      <c r="H15" s="455">
        <f>IF(ISNUMBER(((NºAsuntos!G15/NºAsuntos!E15)-Datos!BD15)/Datos!BD15),((NºAsuntos!G15/NºAsuntos!E15)-Datos!BD15)/Datos!BD15," - ")</f>
        <v>7.8420256991684528E-4</v>
      </c>
      <c r="I15" s="456">
        <f>IF(ISNUMBER(((NºAsuntos!I15/NºAsuntos!G15)-Datos!BE15)/Datos!BE15),((NºAsuntos!I15/NºAsuntos!G15)-Datos!BE15)/Datos!BE15," - ")</f>
        <v>-6.7556351743349882E-2</v>
      </c>
      <c r="J15" s="461">
        <f>IF(ISNUMBER((('Resol  Asuntos'!D15/NºAsuntos!G15)-Datos!BF15)/Datos!BF15),(('Resol  Asuntos'!D15/NºAsuntos!G15)-Datos!BF15)/Datos!BF15," - ")</f>
        <v>8.8049444213827668E-2</v>
      </c>
      <c r="K15" s="462">
        <f>IF(ISNUMBER((((NºAsuntos!C15+NºAsuntos!E15)/NºAsuntos!G15)-Datos!BG15)/Datos!BG15),(((NºAsuntos!C15+NºAsuntos!E15)/NºAsuntos!G15)-Datos!BG15)/Datos!BG15," - ")</f>
        <v>-2.8086688048919489E-2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0.2608695652173913</v>
      </c>
      <c r="C17" s="456">
        <f>IF(ISNUMBER(
   IF(D_I="SI",(Datos!J17-Datos!T17)/Datos!T17,(Datos!J17+Datos!AD17-(Datos!T17+Datos!AL17))/(Datos!T17+Datos!AL17))
     ),IF(D_I="SI",(Datos!J17-Datos!T17)/Datos!T17,(Datos!J17+Datos!AD17-(Datos!T17+Datos!AL17))/(Datos!T17+Datos!AL17))," - ")</f>
        <v>-9.5744680851063829E-2</v>
      </c>
      <c r="D17" s="456">
        <f>IF(ISNUMBER(
   IF(D_I="SI",(Datos!K17-Datos!U17)/Datos!U17,(Datos!K17+Datos!AE17-(Datos!U17+Datos!AM17))/(Datos!U17+Datos!AM17))
     ),IF(D_I="SI",(Datos!K17-Datos!U17)/Datos!U17,(Datos!K17+Datos!AE17-(Datos!U17+Datos!AM17))/(Datos!U17+Datos!AM17))," - ")</f>
        <v>-0.125</v>
      </c>
      <c r="E17" s="456">
        <f>IF(ISNUMBER(
   IF(D_I="SI",(Datos!L17-Datos!V17)/Datos!V17,(Datos!L17+Datos!AF17-(Datos!V17+Datos!AN17))/(Datos!V17+Datos!AN17))
     ),IF(D_I="SI",(Datos!L17-Datos!V17)/Datos!V17,(Datos!L17+Datos!AF17-(Datos!V17+Datos!AN17))/(Datos!V17+Datos!AN17))," - ")</f>
        <v>0.3080357142857143</v>
      </c>
      <c r="F17" s="456">
        <f>IF(ISNUMBER((Datos!M17-Datos!W17)/Datos!W17),(Datos!M17-Datos!W17)/Datos!W17," - ")</f>
        <v>0.5</v>
      </c>
      <c r="G17" s="457">
        <f>IF(ISNUMBER((Datos!N17-Datos!X17)/Datos!X17),(Datos!N17-Datos!X17)/Datos!X17," - ")</f>
        <v>-7.0652173913043473E-2</v>
      </c>
      <c r="H17" s="455">
        <f>IF(ISNUMBER(((NºAsuntos!G17/NºAsuntos!E17)-Datos!BD17)/Datos!BD17),((NºAsuntos!G17/NºAsuntos!E17)-Datos!BD17)/Datos!BD17," - ")</f>
        <v>-3.2352941176470473E-2</v>
      </c>
      <c r="I17" s="456">
        <f>IF(ISNUMBER(((NºAsuntos!I17/NºAsuntos!G17)-Datos!BE17)/Datos!BE17),((NºAsuntos!I17/NºAsuntos!G17)-Datos!BE17)/Datos!BE17," - ")</f>
        <v>0.49489795918367357</v>
      </c>
      <c r="J17" s="461">
        <f>IF(ISNUMBER((('Resol  Asuntos'!D17/NºAsuntos!G17)-Datos!BF17)/Datos!BF17),(('Resol  Asuntos'!D17/NºAsuntos!G17)-Datos!BF17)/Datos!BF17," - ")</f>
        <v>0.71428571428571419</v>
      </c>
      <c r="K17" s="462">
        <f>IF(ISNUMBER((((NºAsuntos!C17+NºAsuntos!E17)/NºAsuntos!G17)-Datos!BG17)/Datos!BG17),(((NºAsuntos!C17+NºAsuntos!E17)/NºAsuntos!G17)-Datos!BG17)/Datos!BG17," - ")</f>
        <v>0.21651785714285712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v>
      </c>
      <c r="C18" s="855">
        <f>IF(ISNUMBER(
   IF(Criterios!B14="SI",(Datos!J18-Datos!T18)/Datos!T18,(Datos!J18+Datos!AD18-(Datos!T18+Datos!AL18))/(Datos!T18+Datos!AL18))
     ),IF(Criterios!B14="SI",(Datos!J18-Datos!T18)/Datos!T18,(Datos!J18+Datos!AD18-(Datos!T18+Datos!AL18))/(Datos!T18+Datos!AL18))," - ")</f>
        <v>2.9836683417085428E-2</v>
      </c>
      <c r="D18" s="855">
        <f>IF(ISNUMBER(
   IF(Criterios!B14="SI",(Datos!K18-Datos!U18)/Datos!U18,(Datos!K18+Datos!AE18-(Datos!U18+Datos!AM18))/(Datos!U18+Datos!AM18))
     ),IF(Criterios!B14="SI",(Datos!K18-Datos!U18)/Datos!U18,(Datos!K18+Datos!AE18-(Datos!U18+Datos!AM18))/(Datos!U18+Datos!AM18))," - ")</f>
        <v>2.7881040892193308E-2</v>
      </c>
      <c r="E18" s="855">
        <f>IF(ISNUMBER(
   IF(Criterios!B14="SI",(Datos!L18-Datos!V18)/Datos!V18,(Datos!L18+Datos!AF18-(Datos!V18+Datos!AN18))/(Datos!V18+Datos!AN18))
     ),IF(Criterios!B14="SI",(Datos!L18-Datos!V18)/Datos!V18,(Datos!L18+Datos!AF18-(Datos!V18+Datos!AN18))/(Datos!V18+Datos!AN18))," - ")</f>
        <v>1.2162876784769964E-2</v>
      </c>
      <c r="F18" s="856">
        <f>IF(ISNUMBER((Datos!M18-Datos!W18)/Datos!W18),(Datos!M18-Datos!W18)/Datos!W18," - ")</f>
        <v>0.15555555555555556</v>
      </c>
      <c r="G18" s="857">
        <f>IF(ISNUMBER((Datos!N18-Datos!X18)/Datos!X18),(Datos!N18-Datos!X18)/Datos!X18," - ")</f>
        <v>7.8248031496062992E-2</v>
      </c>
      <c r="H18" s="857">
        <f>IF(ISNUMBER(((NºAsuntos!G18/NºAsuntos!E18)-Datos!BD18)/Datos!BD18),((NºAsuntos!G18/NºAsuntos!E18)-Datos!BD18)/Datos!BD18," - ")</f>
        <v>-1.898983165372571E-3</v>
      </c>
      <c r="I18" s="857">
        <f>IF(ISNUMBER(((NºAsuntos!I18/NºAsuntos!G18)-Datos!BE18)/Datos!BE18),((NºAsuntos!I18/NºAsuntos!G18)-Datos!BE18)/Datos!BE18," - ")</f>
        <v>-1.5291812458939937E-2</v>
      </c>
      <c r="J18" s="857">
        <f>IF(ISNUMBER((('Resol  Asuntos'!D18/NºAsuntos!G18)-Datos!BF18)/Datos!BF18),(('Resol  Asuntos'!D18/NºAsuntos!G18)-Datos!BF18)/Datos!BF18," - ")</f>
        <v>0.12421137231263826</v>
      </c>
      <c r="K18" s="857">
        <f>IF(ISNUMBER((((NºAsuntos!C18+NºAsuntos!E18)/NºAsuntos!G18)-Datos!BG18)/Datos!BG18),(((NºAsuntos!C18+NºAsuntos!E18)/NºAsuntos!G18)-Datos!BG18)/Datos!BG18," - ")</f>
        <v>-8.9384011790719763E-3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0.16749920289084919</v>
      </c>
      <c r="C19" s="802">
        <f>IF(ISNUMBER(
   IF(J_V="SI",(Datos!J19-Datos!T19)/Datos!T19,(Datos!J19+Datos!Z19-(Datos!T19+Datos!AH19))/(Datos!T19+Datos!AH19))
     ),IF(J_V="SI",(Datos!J19-Datos!T19)/Datos!T19,(Datos!J19+Datos!Z19-(Datos!T19+Datos!AH19))/(Datos!T19+Datos!AH19))," - ")</f>
        <v>0.426027397260274</v>
      </c>
      <c r="D19" s="802">
        <f>IF(ISNUMBER(
   IF(J_V="SI",(Datos!K19-Datos!U19)/Datos!U19,(Datos!K19+Datos!AA19-(Datos!U19+Datos!AI19))/(Datos!U19+Datos!AI19))
     ),IF(J_V="SI",(Datos!K19-Datos!U19)/Datos!U19,(Datos!K19+Datos!AA19-(Datos!U19+Datos!AI19))/(Datos!U19+Datos!AI19))," - ")</f>
        <v>0.15178262374524057</v>
      </c>
      <c r="E19" s="802">
        <f>IF(ISNUMBER(
   IF(J_V="SI",(Datos!L19-Datos!V19)/Datos!V19,(Datos!L19+Datos!AB19-(Datos!V19+Datos!AJ19))/(Datos!V19+Datos!AJ19))
     ),IF(J_V="SI",(Datos!L19-Datos!V19)/Datos!V19,(Datos!L19+Datos!AB19-(Datos!V19+Datos!AJ19))/(Datos!V19+Datos!AJ19))," - ")</f>
        <v>0.33371909521304577</v>
      </c>
      <c r="F19" s="803">
        <f>IF(ISNUMBER((Datos!M19-Datos!W19)/Datos!W19),(Datos!M19-Datos!W19)/Datos!W19," - ")</f>
        <v>0.12887236679058239</v>
      </c>
      <c r="G19" s="804">
        <f>IF(ISNUMBER((Datos!N19-Datos!X19)/Datos!X19),(Datos!N19-Datos!X19)/Datos!X19," - ")</f>
        <v>0.33448818897637794</v>
      </c>
      <c r="H19" s="805">
        <f>IF(ISNUMBER((Tasas!B19-Datos!BD19)/Datos!BD19),(Tasas!B19-Datos!BD19)/Datos!BD19," - ")</f>
        <v>-0.19231381812293408</v>
      </c>
      <c r="I19" s="806">
        <f>IF(ISNUMBER((Tasas!C19-Datos!BE19)/Datos!BE19),(Tasas!C19-Datos!BE19)/Datos!BE19," - ")</f>
        <v>0.15796077117069537</v>
      </c>
      <c r="J19" s="807">
        <f>IF(ISNUMBER((Tasas!D19-Datos!BF19)/Datos!BF19),(Tasas!D19-Datos!BF19)/Datos!BF19," - ")</f>
        <v>-0.45936578349089718</v>
      </c>
      <c r="K19" s="807">
        <f>IF(ISNUMBER((Tasas!E19-Datos!BG19)/Datos!BG19),(Tasas!E19-Datos!BG19)/Datos!BG19," - ")</f>
        <v>9.9607906202567112E-2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smMpgg/NZh5ZZXvIyhJK6aG78oGIfjWUKQngAEBmcH6RzZqLuDVyC4M9oU2YmK2MVOGyvXr85i31w3At/1hpg==" saltValue="pYn5OsPLida57XWdKQtd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FUENGIROLA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0.66128710898585374</v>
      </c>
      <c r="C9" s="443">
        <f>IF(ISNUMBER(NºAsuntos!I9/NºAsuntos!G9),NºAsuntos!I9/NºAsuntos!G9," - ")</f>
        <v>3.2051822838204278</v>
      </c>
      <c r="D9" s="444">
        <f>IF(ISNUMBER('Resol  Asuntos'!D9/NºAsuntos!G9),'Resol  Asuntos'!D9/NºAsuntos!G9," - ")</f>
        <v>0.16269960831575775</v>
      </c>
      <c r="E9" s="445">
        <f>IF(ISNUMBER((NºAsuntos!C9+NºAsuntos!E9)/NºAsuntos!G9),(NºAsuntos!C9+NºAsuntos!E9)/NºAsuntos!G9," - ")</f>
        <v>4.2160289243748119</v>
      </c>
      <c r="G9" s="463"/>
    </row>
    <row r="10" spans="1:7">
      <c r="A10" s="402" t="str">
        <f>Datos!A10</f>
        <v>Jdos. Violencia contra la mujer</v>
      </c>
      <c r="B10" s="442">
        <f>IF(ISNUMBER(NºAsuntos!G10/NºAsuntos!E10),NºAsuntos!G10/NºAsuntos!E10," - ")</f>
        <v>0.6</v>
      </c>
      <c r="C10" s="443">
        <f>IF(ISNUMBER(NºAsuntos!I10/NºAsuntos!G10),NºAsuntos!I10/NºAsuntos!G10," - ")</f>
        <v>6.9444444444444446</v>
      </c>
      <c r="D10" s="444">
        <f>IF(ISNUMBER('Resol  Asuntos'!D10/NºAsuntos!G10),'Resol  Asuntos'!D10/NºAsuntos!G10," - ")</f>
        <v>0.3888888888888889</v>
      </c>
      <c r="E10" s="445">
        <f>IF(ISNUMBER((NºAsuntos!C10+NºAsuntos!E10)/NºAsuntos!G10),(NºAsuntos!C10+NºAsuntos!E10)/NºAsuntos!G10," - ")</f>
        <v>7.9444444444444446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0.66092295504060206</v>
      </c>
      <c r="C13" s="859">
        <f>IF(ISNUMBER(NºAsuntos!I13/NºAsuntos!G13),NºAsuntos!I13/NºAsuntos!G13," - ")</f>
        <v>3.2253521126760565</v>
      </c>
      <c r="D13" s="860">
        <f>IF(ISNUMBER('Resol  Asuntos'!D13/NºAsuntos!G13),'Resol  Asuntos'!D13/NºAsuntos!G13," - ")</f>
        <v>0.16391968834282289</v>
      </c>
      <c r="E13" s="861">
        <f>IF(ISNUMBER((NºAsuntos!C13+NºAsuntos!E13)/NºAsuntos!G13),(NºAsuntos!C13+NºAsuntos!E13)/NºAsuntos!G13," - ")</f>
        <v>4.2361402457296977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1.0138888888888888</v>
      </c>
      <c r="C15" s="443">
        <f>IF(ISNUMBER(NºAsuntos!I15/NºAsuntos!G15),NºAsuntos!I15/NºAsuntos!G15," - ")</f>
        <v>0.52870189171559034</v>
      </c>
      <c r="D15" s="444">
        <f>IF(ISNUMBER('Resol  Asuntos'!D15/NºAsuntos!G15),'Resol  Asuntos'!D15/NºAsuntos!G15," - ")</f>
        <v>0.10991519895629484</v>
      </c>
      <c r="E15" s="445">
        <f>IF(ISNUMBER((NºAsuntos!C15+NºAsuntos!E15)/NºAsuntos!G15),(NºAsuntos!C15+NºAsuntos!E15)/NºAsuntos!G15," - ")</f>
        <v>1.5107632093933463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0.9882352941176471</v>
      </c>
      <c r="C17" s="443">
        <f>IF(ISNUMBER(NºAsuntos!I17/NºAsuntos!G17),NºAsuntos!I17/NºAsuntos!G17," - ")</f>
        <v>1.1626984126984128</v>
      </c>
      <c r="D17" s="444">
        <f>IF(ISNUMBER('Resol  Asuntos'!D17/NºAsuntos!G17),'Resol  Asuntos'!D17/NºAsuntos!G17," - ")</f>
        <v>0.10714285714285714</v>
      </c>
      <c r="E17" s="445">
        <f>IF(ISNUMBER((NºAsuntos!C17+NºAsuntos!E17)/NºAsuntos!G17),(NºAsuntos!C17+NºAsuntos!E17)/NºAsuntos!G17," - ")</f>
        <v>2.1626984126984126</v>
      </c>
      <c r="G17" s="463"/>
    </row>
    <row r="18" spans="1:7" ht="14.25" thickTop="1" thickBot="1">
      <c r="A18" s="848" t="str">
        <f>Datos!A18</f>
        <v>TOTAL</v>
      </c>
      <c r="B18" s="858">
        <f>IF(ISNUMBER(NºAsuntos!G18/NºAsuntos!E18),NºAsuntos!G18/NºAsuntos!E18," - ")</f>
        <v>1.0118938700823421</v>
      </c>
      <c r="C18" s="859">
        <f>IF(ISNUMBER(NºAsuntos!I18/NºAsuntos!G18),NºAsuntos!I18/NºAsuntos!G18," - ")</f>
        <v>0.57685352622061481</v>
      </c>
      <c r="D18" s="862">
        <f>IF(ISNUMBER('Resol  Asuntos'!D18/NºAsuntos!G18),'Resol  Asuntos'!D18/NºAsuntos!G18," - ")</f>
        <v>0.10970464135021098</v>
      </c>
      <c r="E18" s="861">
        <f>IF(ISNUMBER((NºAsuntos!C18+NºAsuntos!E18)/NºAsuntos!G18),(NºAsuntos!C18+NºAsuntos!E18)/NºAsuntos!G18," - ")</f>
        <v>1.5602772754671488</v>
      </c>
      <c r="G18" s="463"/>
    </row>
    <row r="19" spans="1:7" ht="15.75" customHeight="1" thickTop="1" thickBot="1">
      <c r="A19" s="793" t="str">
        <f>Datos!A19</f>
        <v>TOTAL JURISDICCIONES</v>
      </c>
      <c r="B19" s="808">
        <f>IF(ISNUMBER(NºAsuntos!G19/NºAsuntos!E19),NºAsuntos!G19/NºAsuntos!E19," - ")</f>
        <v>0.79911143131604223</v>
      </c>
      <c r="C19" s="809">
        <f>IF(ISNUMBER(NºAsuntos!I19/NºAsuntos!G19),NºAsuntos!I19/NºAsuntos!G19," - ")</f>
        <v>1.9048835462058602</v>
      </c>
      <c r="D19" s="810">
        <f>IF(ISNUMBER('Resol  Asuntos'!D19/NºAsuntos!G19),'Resol  Asuntos'!D19/NºAsuntos!G19," - ")</f>
        <v>0.13688955672426747</v>
      </c>
      <c r="E19" s="811">
        <f>IF(ISNUMBER((NºAsuntos!C19+NºAsuntos!E19)/NºAsuntos!G19),(NºAsuntos!C19+NºAsuntos!E19)/NºAsuntos!G19," - ")</f>
        <v>2.9020285499624343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vewXK8hyDjhMU6HYLjIztfppgwryNrv6IL1+m/z2UUFMfU0ZqYTBLHUbDvXYEO+J/+o7Ol324zv/PWCIc+ovw==" saltValue="JrT9ZxfMK8puv4r074Ai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FUENGIROLA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530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416</v>
      </c>
      <c r="Y9" s="334">
        <f>SUM(W9:X9)</f>
        <v>416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8245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540</v>
      </c>
      <c r="AJ9" s="229" t="str">
        <f>IF(ISNUMBER(Datos!BW9),Datos!BW9," - ")</f>
        <v xml:space="preserve"> - </v>
      </c>
      <c r="AK9" s="228" t="str">
        <f>IF(ISNUMBER(Datos!BX9),Datos!BX9," - ")</f>
        <v xml:space="preserve"> - </v>
      </c>
      <c r="AL9" s="243">
        <f>IF(ISNUMBER(NºAsuntos!G9/NºAsuntos!E9),NºAsuntos!G9/NºAsuntos!E9," - ")</f>
        <v>0.66128710898585374</v>
      </c>
      <c r="AM9" s="260">
        <f>IF(ISNUMBER(((NºAsuntos!I9/NºAsuntos!G9)*11)/factor_trimestre),((NºAsuntos!I9/NºAsuntos!G9)*11)/factor_trimestre," - ")</f>
        <v>9.6155468514612839</v>
      </c>
      <c r="AN9" s="244">
        <f>IF(ISNUMBER('Resol  Asuntos'!D9/NºAsuntos!G9),'Resol  Asuntos'!D9/NºAsuntos!G9," - ")</f>
        <v>0.16269960831575775</v>
      </c>
      <c r="AO9" s="245">
        <f>IF(ISNUMBER((NºAsuntos!C9+NºAsuntos!E9)/NºAsuntos!G9),(NºAsuntos!C9+NºAsuntos!E9)/NºAsuntos!G9," - ")</f>
        <v>4.2160289243748119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113</v>
      </c>
      <c r="G10" s="333">
        <f>IF(ISNUMBER(Datos!I10),Datos!I10," - ")</f>
        <v>113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3</v>
      </c>
      <c r="Y10" s="334">
        <f t="shared" ref="Y10:Y12" si="0">SUM(W10:X10)</f>
        <v>21</v>
      </c>
      <c r="Z10" s="335" t="str">
        <f>IF(ISNUMBER(Datos!CC10),Datos!CC10," - ")</f>
        <v xml:space="preserve"> - </v>
      </c>
      <c r="AA10" s="332">
        <f>IF(ISNUMBER(Datos!L10),Datos!L10,"-")</f>
        <v>125</v>
      </c>
      <c r="AB10" s="334">
        <f>IF(ISNUMBER(Datos!R10),Datos!R10," - ")</f>
        <v>118</v>
      </c>
      <c r="AC10" s="334">
        <f t="shared" ref="AC10:AC12" si="1">IF(ISNUMBER(AA10+AB10),AA10+AB10," - ")</f>
        <v>243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20.833333333333332</v>
      </c>
      <c r="AN10" s="244">
        <f>IF(ISNUMBER('Resol  Asuntos'!D10/NºAsuntos!G10),'Resol  Asuntos'!D10/NºAsuntos!G10," - ")</f>
        <v>0.3888888888888889</v>
      </c>
      <c r="AO10" s="245">
        <f>IF(ISNUMBER((NºAsuntos!C10+NºAsuntos!E10)/NºAsuntos!G10),(NºAsuntos!C10+NºAsuntos!E10)/NºAsuntos!G10," - ")</f>
        <v>7.9444444444444446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113</v>
      </c>
      <c r="G13" s="866">
        <f t="shared" si="3"/>
        <v>113</v>
      </c>
      <c r="H13" s="865">
        <f t="shared" si="3"/>
        <v>0</v>
      </c>
      <c r="I13" s="867">
        <f t="shared" si="3"/>
        <v>0</v>
      </c>
      <c r="J13" s="867">
        <f t="shared" si="3"/>
        <v>0</v>
      </c>
      <c r="K13" s="867">
        <f t="shared" si="3"/>
        <v>0</v>
      </c>
      <c r="L13" s="867">
        <f t="shared" si="3"/>
        <v>541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419</v>
      </c>
      <c r="Y13" s="868">
        <f t="shared" si="4"/>
        <v>437</v>
      </c>
      <c r="Z13" s="868">
        <f t="shared" si="4"/>
        <v>0</v>
      </c>
      <c r="AA13" s="868">
        <f t="shared" si="4"/>
        <v>125</v>
      </c>
      <c r="AB13" s="868">
        <f t="shared" si="4"/>
        <v>8363</v>
      </c>
      <c r="AC13" s="868">
        <f t="shared" si="4"/>
        <v>243</v>
      </c>
      <c r="AD13" s="868">
        <f t="shared" si="4"/>
        <v>0</v>
      </c>
      <c r="AE13" s="872">
        <f t="shared" si="4"/>
        <v>0</v>
      </c>
      <c r="AF13" s="865">
        <f t="shared" si="4"/>
        <v>0</v>
      </c>
      <c r="AG13" s="873">
        <f t="shared" si="4"/>
        <v>0</v>
      </c>
      <c r="AH13" s="870">
        <f t="shared" si="4"/>
        <v>0</v>
      </c>
      <c r="AI13" s="865">
        <f t="shared" si="4"/>
        <v>547</v>
      </c>
      <c r="AJ13" s="867">
        <f t="shared" si="4"/>
        <v>0</v>
      </c>
      <c r="AK13" s="870">
        <f>SUBTOTAL(9,AK9:AK12)</f>
        <v>0</v>
      </c>
      <c r="AL13" s="874">
        <f>IF(ISNUMBER(NºAsuntos!G13/NºAsuntos!E13),NºAsuntos!G13/NºAsuntos!E13," - ")</f>
        <v>0.66092295504060206</v>
      </c>
      <c r="AM13" s="874">
        <f>IF(ISNUMBER(((NºAsuntos!I13/NºAsuntos!G13)*11)/factor_trimestre),((NºAsuntos!I13/NºAsuntos!G13)*11)/factor_trimestre," - ")</f>
        <v>9.6760563380281699</v>
      </c>
      <c r="AN13" s="875">
        <f>IF(ISNUMBER('Resol  Asuntos'!D13/NºAsuntos!G13),'Resol  Asuntos'!D13/NºAsuntos!G13," - ")</f>
        <v>0.16391968834282289</v>
      </c>
      <c r="AO13" s="876">
        <f>IF(ISNUMBER((NºAsuntos!C13+NºAsuntos!E13)/NºAsuntos!G13),(NºAsuntos!C13+NºAsuntos!E13)/NºAsuntos!G13," - ")</f>
        <v>4.2361402457296977</v>
      </c>
      <c r="AP13" s="877" t="str">
        <f t="shared" si="2"/>
        <v xml:space="preserve"> - </v>
      </c>
      <c r="AQ13" s="877">
        <f>IF(ISNUMBER((H13-W13+K13)/(F13)),(H13-W13+K13)/(F13)," - ")</f>
        <v>-0.15929203539823009</v>
      </c>
      <c r="AR13" s="878">
        <f>IF(ISNUMBER((Datos!P13-Datos!Q13)/(Datos!R13-Datos!P13+Datos!Q13)),(Datos!P13-Datos!Q13)/(Datos!R13-Datos!P13+Datos!Q13)," - ")</f>
        <v>1.4804028637301299E-2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1663</v>
      </c>
      <c r="G15" s="333">
        <f>IF(ISNUMBER(IF(D_I="SI",Datos!I15,Datos!I15+Datos!AC15)),IF(D_I="SI",Datos!I15,Datos!I15+Datos!AC15)," - ")</f>
        <v>1608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3066</v>
      </c>
      <c r="X15" s="226">
        <f>IF(ISNUMBER(Datos!Q15),Datos!Q15," - ")</f>
        <v>115</v>
      </c>
      <c r="Y15" s="334">
        <f>SUM(W15)</f>
        <v>3066</v>
      </c>
      <c r="Z15" s="335" t="str">
        <f>IF(ISNUMBER(Datos!CC15),Datos!CC15," - ")</f>
        <v xml:space="preserve"> - </v>
      </c>
      <c r="AA15" s="332">
        <f>IF(ISNUMBER(IF(D_I="SI",Datos!L15,Datos!L15+Datos!AF15)),IF(D_I="SI",Datos!L15,Datos!L15+Datos!AF15)," - ")</f>
        <v>1621</v>
      </c>
      <c r="AB15" s="334">
        <f>IF(ISNUMBER(Datos!R15),Datos!R15," - ")</f>
        <v>231</v>
      </c>
      <c r="AC15" s="334">
        <f t="shared" ref="AC15:AC17" si="6">IF(ISNUMBER(AA15+AB15),AA15+AB15," - ")</f>
        <v>1852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337</v>
      </c>
      <c r="AJ15" s="231" t="str">
        <f>IF(ISNUMBER(Datos!BW15),Datos!BW15," - ")</f>
        <v xml:space="preserve"> - </v>
      </c>
      <c r="AK15" s="232" t="str">
        <f>IF(ISNUMBER(Datos!BX15),Datos!BX15," - ")</f>
        <v xml:space="preserve"> - </v>
      </c>
      <c r="AL15" s="243">
        <f>IF(ISNUMBER(NºAsuntos!G15/NºAsuntos!E15),NºAsuntos!G15/NºAsuntos!E15," - ")</f>
        <v>1.0138888888888888</v>
      </c>
      <c r="AM15" s="260">
        <f>IF(ISNUMBER(((NºAsuntos!I15/NºAsuntos!G15)*11)/factor_trimestre),((NºAsuntos!I15/NºAsuntos!G15)*11)/factor_trimestre," - ")</f>
        <v>1.5861056751467713</v>
      </c>
      <c r="AN15" s="244">
        <f>IF(ISNUMBER('Resol  Asuntos'!D15/NºAsuntos!G15),'Resol  Asuntos'!D15/NºAsuntos!G15," - ")</f>
        <v>0.10991519895629484</v>
      </c>
      <c r="AO15" s="245">
        <f>IF(ISNUMBER((NºAsuntos!C15+NºAsuntos!E15)/NºAsuntos!G15),(NºAsuntos!C15+NºAsuntos!E15)/NºAsuntos!G15," - ")</f>
        <v>1.5107632093933463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252</v>
      </c>
      <c r="X17" s="226">
        <f>IF(ISNUMBER(Datos!Q17),Datos!Q17," - ")</f>
        <v>3</v>
      </c>
      <c r="Y17" s="334">
        <f t="shared" si="7"/>
        <v>255</v>
      </c>
      <c r="Z17" s="335" t="str">
        <f>IF(ISNUMBER(Datos!CC17),Datos!CC17," - ")</f>
        <v xml:space="preserve"> - </v>
      </c>
      <c r="AA17" s="332">
        <f>IF(ISNUMBER(Datos!L17),Datos!L17,"-")</f>
        <v>293</v>
      </c>
      <c r="AB17" s="334">
        <f>IF(ISNUMBER(Datos!R17),Datos!R17," - ")</f>
        <v>9</v>
      </c>
      <c r="AC17" s="334">
        <f t="shared" si="6"/>
        <v>302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0.9882352941176471</v>
      </c>
      <c r="AM17" s="260">
        <f>IF(ISNUMBER(((NºAsuntos!I17/NºAsuntos!G17)*11)/factor_trimestre),((NºAsuntos!I17/NºAsuntos!G17)*11)/factor_trimestre," - ")</f>
        <v>3.4880952380952386</v>
      </c>
      <c r="AN17" s="244">
        <f>IF(ISNUMBER('Resol  Asuntos'!D17/NºAsuntos!G17),'Resol  Asuntos'!D17/NºAsuntos!G17," - ")</f>
        <v>0.10714285714285714</v>
      </c>
      <c r="AO17" s="245">
        <f>IF(ISNUMBER((NºAsuntos!C17+NºAsuntos!E17)/NºAsuntos!G17),(NºAsuntos!C17+NºAsuntos!E17)/NºAsuntos!G17," - ")</f>
        <v>2.1626984126984126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1663</v>
      </c>
      <c r="G18" s="866">
        <f>SUBTOTAL(9,G15:G17)</f>
        <v>1898</v>
      </c>
      <c r="H18" s="865">
        <f t="shared" ref="H18:O18" si="10">SUBTOTAL(9,H14:H17)</f>
        <v>0</v>
      </c>
      <c r="I18" s="867">
        <f t="shared" si="10"/>
        <v>0</v>
      </c>
      <c r="J18" s="867">
        <f t="shared" si="10"/>
        <v>0</v>
      </c>
      <c r="K18" s="867">
        <f t="shared" si="10"/>
        <v>0</v>
      </c>
      <c r="L18" s="867">
        <f t="shared" si="10"/>
        <v>101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3318</v>
      </c>
      <c r="X18" s="867">
        <f t="shared" si="11"/>
        <v>118</v>
      </c>
      <c r="Y18" s="868">
        <f t="shared" si="11"/>
        <v>3321</v>
      </c>
      <c r="Z18" s="868">
        <f t="shared" si="11"/>
        <v>0</v>
      </c>
      <c r="AA18" s="868">
        <f t="shared" si="11"/>
        <v>1914</v>
      </c>
      <c r="AB18" s="868">
        <f t="shared" si="11"/>
        <v>240</v>
      </c>
      <c r="AC18" s="868">
        <f t="shared" si="11"/>
        <v>2154</v>
      </c>
      <c r="AD18" s="868">
        <f t="shared" si="11"/>
        <v>0</v>
      </c>
      <c r="AE18" s="872">
        <f t="shared" si="11"/>
        <v>0</v>
      </c>
      <c r="AF18" s="865">
        <f t="shared" si="11"/>
        <v>0</v>
      </c>
      <c r="AG18" s="873">
        <f t="shared" si="11"/>
        <v>0</v>
      </c>
      <c r="AH18" s="870">
        <f t="shared" si="11"/>
        <v>0</v>
      </c>
      <c r="AI18" s="865">
        <f t="shared" si="11"/>
        <v>364</v>
      </c>
      <c r="AJ18" s="867">
        <f t="shared" si="11"/>
        <v>0</v>
      </c>
      <c r="AK18" s="870">
        <f t="shared" si="11"/>
        <v>0</v>
      </c>
      <c r="AL18" s="874">
        <f>IF(ISNUMBER(NºAsuntos!G18/NºAsuntos!E18),NºAsuntos!G18/NºAsuntos!E18," - ")</f>
        <v>1.0118938700823421</v>
      </c>
      <c r="AM18" s="874">
        <f>IF(ISNUMBER(((NºAsuntos!I18/NºAsuntos!G18)*11)/factor_trimestre),((NºAsuntos!I18/NºAsuntos!G18)*11)/factor_trimestre," - ")</f>
        <v>1.7305605786618445</v>
      </c>
      <c r="AN18" s="875">
        <f>IF(ISNUMBER('Resol  Asuntos'!D18/NºAsuntos!G18),'Resol  Asuntos'!D18/NºAsuntos!G18," - ")</f>
        <v>0.10970464135021098</v>
      </c>
      <c r="AO18" s="876">
        <f>IF(ISNUMBER((NºAsuntos!C18+NºAsuntos!E18)/NºAsuntos!G18),(NºAsuntos!C18+NºAsuntos!E18)/NºAsuntos!G18," - ")</f>
        <v>1.5602772754671488</v>
      </c>
      <c r="AP18" s="877" t="str">
        <f t="shared" si="2"/>
        <v xml:space="preserve"> - </v>
      </c>
      <c r="AQ18" s="877">
        <f>IF(ISNUMBER((H18-W18+K18)/(F18)),(H18-W18+K18)/(F18)," - ")</f>
        <v>-1.995189416716777</v>
      </c>
      <c r="AR18" s="878">
        <f>IF(ISNUMBER((Datos!P18-Datos!Q18)/(Datos!R18-Datos!P18+Datos!Q18)),(Datos!P18-Datos!Q18)/(Datos!R18-Datos!P18+Datos!Q18)," - ")</f>
        <v>-6.6147859922178989E-2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1776</v>
      </c>
      <c r="G19" s="821">
        <f t="shared" si="13"/>
        <v>2011</v>
      </c>
      <c r="H19" s="820">
        <f t="shared" si="13"/>
        <v>0</v>
      </c>
      <c r="I19" s="822">
        <f t="shared" si="13"/>
        <v>0</v>
      </c>
      <c r="J19" s="822">
        <f t="shared" si="13"/>
        <v>0</v>
      </c>
      <c r="K19" s="881">
        <f t="shared" si="13"/>
        <v>0</v>
      </c>
      <c r="L19" s="822">
        <f t="shared" si="13"/>
        <v>642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3336</v>
      </c>
      <c r="X19" s="821">
        <f t="shared" si="14"/>
        <v>537</v>
      </c>
      <c r="Y19" s="828">
        <f t="shared" si="14"/>
        <v>3758</v>
      </c>
      <c r="Z19" s="828">
        <f t="shared" si="14"/>
        <v>0</v>
      </c>
      <c r="AA19" s="828">
        <f t="shared" si="14"/>
        <v>2039</v>
      </c>
      <c r="AB19" s="828">
        <f t="shared" si="14"/>
        <v>8603</v>
      </c>
      <c r="AC19" s="828">
        <f t="shared" si="14"/>
        <v>2397</v>
      </c>
      <c r="AD19" s="828">
        <f t="shared" si="14"/>
        <v>0</v>
      </c>
      <c r="AE19" s="830">
        <f t="shared" si="14"/>
        <v>0</v>
      </c>
      <c r="AF19" s="831">
        <f t="shared" si="14"/>
        <v>0</v>
      </c>
      <c r="AG19" s="832">
        <f t="shared" si="14"/>
        <v>0</v>
      </c>
      <c r="AH19" s="830">
        <f t="shared" si="14"/>
        <v>0</v>
      </c>
      <c r="AI19" s="820">
        <f t="shared" si="14"/>
        <v>911</v>
      </c>
      <c r="AJ19" s="820">
        <f t="shared" si="14"/>
        <v>0</v>
      </c>
      <c r="AK19" s="830">
        <f t="shared" si="14"/>
        <v>0</v>
      </c>
      <c r="AL19" s="884">
        <f>IF(ISNUMBER(NºAsuntos!G19/NºAsuntos!E19),NºAsuntos!G19/NºAsuntos!E19," - ")</f>
        <v>0.79911143131604223</v>
      </c>
      <c r="AM19" s="885">
        <f>IF(ISNUMBER(((NºAsuntos!I19/NºAsuntos!G19)*11)/factor_trimestre),((NºAsuntos!I19/NºAsuntos!G19)*11)/factor_trimestre," - ")</f>
        <v>5.7146506386175808</v>
      </c>
      <c r="AN19" s="885">
        <f>IF(ISNUMBER('Resol  Asuntos'!D19/NºAsuntos!G19),'Resol  Asuntos'!D19/NºAsuntos!G19," - ")</f>
        <v>0.13688955672426747</v>
      </c>
      <c r="AO19" s="886">
        <f>IF(ISNUMBER((NºAsuntos!C19+NºAsuntos!E19)/NºAsuntos!G19),(NºAsuntos!C19+NºAsuntos!E19)/NºAsuntos!G19," - ")</f>
        <v>2.9020285499624343</v>
      </c>
      <c r="AP19" s="887" t="str">
        <f t="shared" si="2"/>
        <v xml:space="preserve"> - </v>
      </c>
      <c r="AQ19" s="888">
        <f>IF(OR(ISNUMBER(FIND("01",Criterios!A8,1)),ISNUMBER(FIND("02",Criterios!A8,1)),ISNUMBER(FIND("03",Criterios!A8,1)),ISNUMBER(FIND("04",Criterios!A8,1))),(I19-W19+K19)/(F19-K19),(H19-W19+K19)/(F19-K19))</f>
        <v>-1.8783783783783783</v>
      </c>
      <c r="AR19" s="889">
        <f>IF(ISNUMBER((Datos!P19-Datos!Q19)/(Datos!R19-Datos!P19+Datos!Q19)),(Datos!P19-Datos!Q19)/(Datos!R19-Datos!P19+Datos!Q19)," - ")</f>
        <v>1.2355848434925865E-2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804.4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894.89291724392001</v>
      </c>
      <c r="G21" s="253">
        <f>IF(ISNUMBER(STDEV(G8:G18)),STDEV(G8:G18),"-")</f>
        <v>874.98702847527977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1700.7730007264342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238.48326286485323</v>
      </c>
      <c r="AJ21" s="252">
        <f t="shared" si="18"/>
        <v>0</v>
      </c>
      <c r="AK21" s="254">
        <f t="shared" si="18"/>
        <v>0</v>
      </c>
      <c r="AL21" s="249">
        <f t="shared" si="18"/>
        <v>0.20078379856925466</v>
      </c>
      <c r="AM21" s="250">
        <f t="shared" si="18"/>
        <v>7.3583132874419093</v>
      </c>
      <c r="AN21" s="250">
        <f t="shared" si="18"/>
        <v>0.10873516470338306</v>
      </c>
      <c r="AO21" s="251">
        <f t="shared" si="18"/>
        <v>2.4596513999343701</v>
      </c>
      <c r="AP21" s="291" t="str">
        <f t="shared" si="18"/>
        <v>-</v>
      </c>
      <c r="AQ21" s="292">
        <f t="shared" si="18"/>
        <v>1.2981754878929694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X8v25ZfwfbBB9UCpzV1filAr9GRxHVrs8j/6vbbVNc75sRWyYUsVeUDJU7pV6kJCV/75kjhVnqhrvBTnEfTMVA==" saltValue="2SGivkLi3+KaqkEY6R5of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FUENGIROLA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0.13445378151260504</v>
      </c>
      <c r="I9" s="350">
        <f>IF(ISNUMBER((Tasas!C9-Datos!BE9)/Datos!BE9),(Tasas!C9-Datos!BE9)/Datos!BE9," - ")</f>
        <v>7.4086124945684048E-2</v>
      </c>
      <c r="J9" s="349">
        <f>IF(ISNUMBER((Tasas!D9-Datos!BF9)/Datos!BF9),(Tasas!D9-Datos!BF9)/Datos!BF9," - ")</f>
        <v>-0.63838143593423458</v>
      </c>
      <c r="K9" s="351">
        <f>IF(ISNUMBER((Tasas!E9-Datos!BG9)/Datos!BG9),(Tasas!E9-Datos!BG9)/Datos!BG9," - ")</f>
        <v>5.7896556669694489E-2</v>
      </c>
      <c r="M9" t="e">
        <f>IF(Monitorios="SI",Datos!CE9,0)</f>
        <v>#REF!</v>
      </c>
      <c r="N9" t="e">
        <f>IF(Monitorios="SI",Datos!CF9,0)</f>
        <v>#REF!</v>
      </c>
      <c r="O9" t="e">
        <f>IF(Monitorios="SI",Datos!CG9,0)</f>
        <v>#REF!</v>
      </c>
      <c r="P9" t="e">
        <f>IF(Monitorios="SI",Datos!CH9,0)</f>
        <v>#REF!</v>
      </c>
      <c r="Q9">
        <f>IF(J_V="SI",0,Datos!AG9)</f>
        <v>72</v>
      </c>
      <c r="R9">
        <f>IF(J_V="SI",0,Datos!AH9)</f>
        <v>105</v>
      </c>
      <c r="S9">
        <f>IF(J_V="SI",0,Datos!AI9)</f>
        <v>101</v>
      </c>
      <c r="T9">
        <f>IF(J_V="SI",0,Datos!AJ9)</f>
        <v>76</v>
      </c>
    </row>
    <row r="10" spans="2:20" ht="14.25">
      <c r="B10" s="275" t="s">
        <v>246</v>
      </c>
      <c r="C10" s="7" t="str">
        <f>Datos!A10</f>
        <v>Jdos. Violencia contra la mujer</v>
      </c>
      <c r="D10" s="352">
        <f>IF(ISNUMBER((Datos!I10-Datos!S10)/Datos!S10),(Datos!I10-Datos!S10)/Datos!S10," - ")</f>
        <v>0.11881188118811881</v>
      </c>
      <c r="E10" s="348">
        <f>IF(ISNUMBER((Datos!J10-Datos!T10)/Datos!T10),(Datos!J10-Datos!T10)/Datos!T10," - ")</f>
        <v>-0.23076923076923078</v>
      </c>
      <c r="F10" s="348">
        <f>IF(ISNUMBER((Datos!K10-Datos!U10)/Datos!U10),(Datos!K10-Datos!U10)/Datos!U10," - ")</f>
        <v>-0.47058823529411764</v>
      </c>
      <c r="G10" s="349">
        <f>IF(ISNUMBER((Datos!L10-Datos!V10)/Datos!V10),(Datos!L10-Datos!V10)/Datos!V10," - ")</f>
        <v>0.17924528301886791</v>
      </c>
      <c r="H10" s="230">
        <f>IF(ISNUMBER((Datos!M10-Datos!W10)/Datos!W10),(Datos!M10-Datos!W10)/Datos!W10," - ")</f>
        <v>-0.5625</v>
      </c>
      <c r="I10" s="350">
        <f>IF(ISNUMBER((Tasas!C10-Datos!BE10)/Datos!BE10),(Tasas!C10-Datos!BE10)/Datos!BE10," - ")</f>
        <v>1.2274633123689729</v>
      </c>
      <c r="J10" s="349">
        <f>IF(ISNUMBER((Tasas!D10-Datos!BF10)/Datos!BF10),(Tasas!D10-Datos!BF10)/Datos!BF10," - ")</f>
        <v>-0.17361111111111108</v>
      </c>
      <c r="K10" s="351">
        <f>IF(ISNUMBER((Tasas!E10-Datos!BG10)/Datos!BG10),(Tasas!E10-Datos!BG10)/Datos!BG10," - ")</f>
        <v>0.92936507936507962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0.11178861788617886</v>
      </c>
      <c r="I13" s="357">
        <f>IF(ISNUMBER((Tasas!C13-Datos!BE13)/Datos!BE13),(Tasas!C13-Datos!BE13)/Datos!BE13," - ")</f>
        <v>8.0200668153919644E-2</v>
      </c>
      <c r="J13" s="355">
        <f>IF(ISNUMBER((Tasas!D13-Datos!BF13)/Datos!BF13),(Tasas!D13-Datos!BF13)/Datos!BF13," - ")</f>
        <v>-0.63589267833257979</v>
      </c>
      <c r="K13" s="358">
        <f>IF(ISNUMBER((Tasas!E13-Datos!BG13)/Datos!BG13),(Tasas!E13-Datos!BG13)/Datos!BG13," - ")</f>
        <v>6.2472472372453014E-2</v>
      </c>
      <c r="M13" t="e">
        <f>IF(Monitorios="SI",Datos!CE13,0)</f>
        <v>#REF!</v>
      </c>
      <c r="N13" t="e">
        <f>IF(Monitorios="SI",Datos!CF13,0)</f>
        <v>#REF!</v>
      </c>
      <c r="O13" t="e">
        <f>IF(Monitorios="SI",Datos!CG13,0)</f>
        <v>#REF!</v>
      </c>
      <c r="P13" t="e">
        <f>IF(Monitorios="SI",Datos!CH13,0)</f>
        <v>#REF!</v>
      </c>
      <c r="Q13">
        <f>IF(J_V="SI",0,Datos!AG13)</f>
        <v>72</v>
      </c>
      <c r="R13">
        <f>IF(J_V="SI",0,Datos!AH13)</f>
        <v>105</v>
      </c>
      <c r="S13">
        <f>IF(J_V="SI",0,Datos!AI13)</f>
        <v>101</v>
      </c>
      <c r="T13">
        <f>IF(J_V="SI",0,Datos!AJ13)</f>
        <v>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-3.5971223021582732E-2</v>
      </c>
      <c r="E15" s="348">
        <f>IF(ISNUMBER(
   IF(D_I="SI",(Datos!J15-Datos!T15)/Datos!T15,(Datos!J15+Datos!AD15-(Datos!T15+Datos!AL15))/(Datos!T15+Datos!AL15))
     ),IF(D_I="SI",(Datos!J15-Datos!T15)/Datos!T15,(Datos!J15+Datos!AD15-(Datos!T15+Datos!AL15))/(Datos!T15+Datos!AL15))," - ")</f>
        <v>4.203997243280496E-2</v>
      </c>
      <c r="F15" s="348">
        <f>IF(ISNUMBER(
   IF(D_I="SI",(Datos!K15-Datos!U15)/Datos!U15,(Datos!K15+Datos!AE15-(Datos!U15+Datos!AM15))/(Datos!U15+Datos!AM15))
     ),IF(D_I="SI",(Datos!K15-Datos!U15)/Datos!U15,(Datos!K15+Datos!AE15-(Datos!U15+Datos!AM15))/(Datos!U15+Datos!AM15))," - ")</f>
        <v>4.2857142857142858E-2</v>
      </c>
      <c r="G15" s="349">
        <f>IF(ISNUMBER(
   IF(D_I="SI",(Datos!L15-Datos!V15)/Datos!V15,(Datos!L15+Datos!AF15-(Datos!V15+Datos!AN15))/(Datos!V15+Datos!AN15))
     ),IF(D_I="SI",(Datos!L15-Datos!V15)/Datos!V15,(Datos!L15+Datos!AF15-(Datos!V15+Datos!AN15))/(Datos!V15+Datos!AN15))," - ")</f>
        <v>-2.7594481103779243E-2</v>
      </c>
      <c r="H15" s="230">
        <f>IF(ISNUMBER((Datos!M15-Datos!W15)/Datos!W15),(Datos!M15-Datos!W15)/Datos!W15," - ")</f>
        <v>0.13468013468013468</v>
      </c>
      <c r="I15" s="350">
        <f>IF(ISNUMBER((Tasas!C15-Datos!BE15)/Datos!BE15),(Tasas!C15-Datos!BE15)/Datos!BE15," - ")</f>
        <v>-6.7556351743349882E-2</v>
      </c>
      <c r="J15" s="349">
        <f>IF(ISNUMBER((Tasas!D15-Datos!BF15)/Datos!BF15),(Tasas!D15-Datos!BF15)/Datos!BF15," - ")</f>
        <v>8.8049444213827668E-2</v>
      </c>
      <c r="K15" s="351">
        <f>IF(ISNUMBER((Tasas!E15-Datos!BG15)/Datos!BG15),(Tasas!E15-Datos!BG15)/Datos!BG15," - ")</f>
        <v>-2.8086688048919489E-2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0.2608695652173913</v>
      </c>
      <c r="E17" s="348">
        <f>IF(ISNUMBER(
   IF(D_I="SI",(Datos!J17-Datos!T17)/Datos!T17,(Datos!J17+Datos!AD17-(Datos!T17+Datos!AL17))/(Datos!T17+Datos!AL17))
     ),IF(D_I="SI",(Datos!J17-Datos!T17)/Datos!T17,(Datos!J17+Datos!AD17-(Datos!T17+Datos!AL17))/(Datos!T17+Datos!AL17))," - ")</f>
        <v>-9.5744680851063829E-2</v>
      </c>
      <c r="F17" s="348">
        <f>IF(ISNUMBER(
   IF(D_I="SI",(Datos!K17-Datos!U17)/Datos!U17,(Datos!K17+Datos!AE17-(Datos!U17+Datos!AM17))/(Datos!U17+Datos!AM17))
     ),IF(D_I="SI",(Datos!K17-Datos!U17)/Datos!U17,(Datos!K17+Datos!AE17-(Datos!U17+Datos!AM17))/(Datos!U17+Datos!AM17))," - ")</f>
        <v>-0.125</v>
      </c>
      <c r="G17" s="349">
        <f>IF(ISNUMBER(
   IF(D_I="SI",(Datos!L17-Datos!V17)/Datos!V17,(Datos!L17+Datos!AF17-(Datos!V17+Datos!AN17))/(Datos!V17+Datos!AN17))
     ),IF(D_I="SI",(Datos!L17-Datos!V17)/Datos!V17,(Datos!L17+Datos!AF17-(Datos!V17+Datos!AN17))/(Datos!V17+Datos!AN17))," - ")</f>
        <v>0.3080357142857143</v>
      </c>
      <c r="H17" s="230">
        <f>IF(ISNUMBER((Datos!M17-Datos!W17)/Datos!W17),(Datos!M17-Datos!W17)/Datos!W17," - ")</f>
        <v>0.5</v>
      </c>
      <c r="I17" s="350">
        <f>IF(ISNUMBER((Tasas!C17-Datos!BE17)/Datos!BE17),(Tasas!C17-Datos!BE17)/Datos!BE17," - ")</f>
        <v>0.49489795918367357</v>
      </c>
      <c r="J17" s="349">
        <f>IF(ISNUMBER((Tasas!D17-Datos!BF17)/Datos!BF17),(Tasas!D17-Datos!BF17)/Datos!BF17," - ")</f>
        <v>0.71428571428571419</v>
      </c>
      <c r="K17" s="351">
        <f>IF(ISNUMBER((Tasas!E17-Datos!BG17)/Datos!BG17),(Tasas!E17-Datos!BG17)/Datos!BG17," - ")</f>
        <v>0.21651785714285712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v>
      </c>
      <c r="E18" s="354">
        <f>IF(ISNUMBER(
   IF(D_I="SI",(Datos!J18-Datos!T18)/Datos!T18,(Datos!J18+Datos!AD18-(Datos!T18+Datos!AL18))/(Datos!T18+Datos!AL18))
     ),IF(D_I="SI",(Datos!J18-Datos!T18)/Datos!T18,(Datos!J18+Datos!AD18-(Datos!T18+Datos!AL18))/(Datos!T18+Datos!AL18))," - ")</f>
        <v>2.9836683417085428E-2</v>
      </c>
      <c r="F18" s="354">
        <f>IF(ISNUMBER(
   IF(D_I="SI",(Datos!K18-Datos!U18)/Datos!U18,(Datos!K18+Datos!AE18-(Datos!U18+Datos!AM18))/(Datos!U18+Datos!AM18))
     ),IF(D_I="SI",(Datos!K18-Datos!U18)/Datos!U18,(Datos!K18+Datos!AE18-(Datos!U18+Datos!AM18))/(Datos!U18+Datos!AM18))," - ")</f>
        <v>2.7881040892193308E-2</v>
      </c>
      <c r="G18" s="355">
        <f>IF(ISNUMBER(
   IF(D_I="SI",(Datos!L18-Datos!V18)/Datos!V18,(Datos!L18+Datos!AF18-(Datos!V18+Datos!AN18))/(Datos!V18+Datos!AN18))
     ),IF(D_I="SI",(Datos!L18-Datos!V18)/Datos!V18,(Datos!L18+Datos!AF18-(Datos!V18+Datos!AN18))/(Datos!V18+Datos!AN18))," - ")</f>
        <v>1.2162876784769964E-2</v>
      </c>
      <c r="H18" s="356">
        <f>IF(ISNUMBER((Datos!M18-Datos!W18)/Datos!W18),(Datos!M18-Datos!W18)/Datos!W18," - ")</f>
        <v>0.15555555555555556</v>
      </c>
      <c r="I18" s="357">
        <f>IF(ISNUMBER((Tasas!C18-Datos!BE18)/Datos!BE18),(Tasas!C18-Datos!BE18)/Datos!BE18," - ")</f>
        <v>-1.5291812458939937E-2</v>
      </c>
      <c r="J18" s="355">
        <f>IF(ISNUMBER((Tasas!D18-Datos!BF18)/Datos!BF18),(Tasas!D18-Datos!BF18)/Datos!BF18," - ")</f>
        <v>0.12421137231263826</v>
      </c>
      <c r="K18" s="358">
        <f>IF(ISNUMBER((Tasas!E18-Datos!BG18)/Datos!BG18),(Tasas!E18-Datos!BG18)/Datos!BG18," - ")</f>
        <v>-8.9384011790719763E-3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0.16749920289084919</v>
      </c>
      <c r="E19" s="363">
        <f>IF(ISNUMBER(
   IF(J_V="SI",(Datos!J19-Datos!T19)/Datos!T19,(Datos!J19+Datos!Z19-(Datos!T19+Datos!AH19))/(Datos!T19+Datos!AH19))
     ),IF(J_V="SI",(Datos!J19-Datos!T19)/Datos!T19,(Datos!J19+Datos!Z19-(Datos!T19+Datos!AH19))/(Datos!T19+Datos!AH19))," - ")</f>
        <v>0.426027397260274</v>
      </c>
      <c r="F19" s="363">
        <f>IF(ISNUMBER(
   IF(J_V="SI",(Datos!K19-Datos!U19)/Datos!U19,(Datos!K19+Datos!AA19-(Datos!U19+Datos!AI19))/(Datos!U19+Datos!AI19))
     ),IF(J_V="SI",(Datos!K19-Datos!U19)/Datos!U19,(Datos!K19+Datos!AA19-(Datos!U19+Datos!AI19))/(Datos!U19+Datos!AI19))," - ")</f>
        <v>0.15178262374524057</v>
      </c>
      <c r="G19" s="364">
        <f>IF(ISNUMBER(
   IF(J_V="SI",(Datos!L19-Datos!V19)/Datos!V19,(Datos!L19+Datos!AB19-(Datos!V19+Datos!AJ19))/(Datos!V19+Datos!AJ19))
     ),IF(J_V="SI",(Datos!L19-Datos!V19)/Datos!V19,(Datos!L19+Datos!AB19-(Datos!V19+Datos!AJ19))/(Datos!V19+Datos!AJ19))," - ")</f>
        <v>0.33371909521304577</v>
      </c>
      <c r="H19" s="365">
        <f>IF(ISNUMBER((Datos!M19-Datos!W19)/Datos!W19),(Datos!M19-Datos!W19)/Datos!W19," - ")</f>
        <v>0.12887236679058239</v>
      </c>
      <c r="I19" s="362">
        <f>IF(ISNUMBER((Tasas!C19-Datos!BE19)/Datos!BE19),(Tasas!C19-Datos!BE19)/Datos!BE19," - ")</f>
        <v>0.15796077117069537</v>
      </c>
      <c r="J19" s="363">
        <f>IF(ISNUMBER((Tasas!D19-Datos!BF19)/Datos!BF19),(Tasas!D19-Datos!BF19)/Datos!BF19," - ")</f>
        <v>-0.45936578349089718</v>
      </c>
      <c r="K19" s="364">
        <f>IF(ISNUMBER((Tasas!E19-Datos!BG19)/Datos!BG19),(Tasas!E19-Datos!BG19)/Datos!BG19," - ")</f>
        <v>9.9607906202567112E-2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0.13407577787602248</v>
      </c>
      <c r="E21" s="278">
        <f t="shared" si="1"/>
        <v>0.12763102513888278</v>
      </c>
      <c r="F21" s="278">
        <f t="shared" si="1"/>
        <v>0.2386248661118546</v>
      </c>
      <c r="G21" s="279">
        <f t="shared" si="1"/>
        <v>0.15520287938037661</v>
      </c>
      <c r="H21" s="285">
        <f t="shared" si="1"/>
        <v>0.3469508598494434</v>
      </c>
      <c r="I21" s="277">
        <f t="shared" si="1"/>
        <v>0.49639146393638717</v>
      </c>
      <c r="J21" s="278">
        <f t="shared" si="1"/>
        <v>0.51577464449748944</v>
      </c>
      <c r="K21" s="279">
        <f t="shared" si="1"/>
        <v>0.3652094994472706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v4Q2UDojyHj6I7EQ3jDR0IvG+msQ7V011dCwBlI2KqQ3XaT8lC09O/EiB+deToVF4lat3YMU/Q8PPALky7kXQ==" saltValue="6A9Zmo4gzAodEconQllvg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